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/>
  <mc:AlternateContent xmlns:mc="http://schemas.openxmlformats.org/markup-compatibility/2006">
    <mc:Choice Requires="x15">
      <x15ac:absPath xmlns:x15ac="http://schemas.microsoft.com/office/spreadsheetml/2010/11/ac" url="/Users/moirarieralopez/Desktop/"/>
    </mc:Choice>
  </mc:AlternateContent>
  <xr:revisionPtr revIDLastSave="0" documentId="13_ncr:1_{DBDDCE92-DA02-DE44-897C-76F356698BC4}" xr6:coauthVersionLast="47" xr6:coauthVersionMax="47" xr10:uidLastSave="{00000000-0000-0000-0000-000000000000}"/>
  <bookViews>
    <workbookView xWindow="40" yWindow="500" windowWidth="21560" windowHeight="16200" tabRatio="801" activeTab="4" xr2:uid="{00000000-000D-0000-FFFF-FFFF00000000}"/>
  </bookViews>
  <sheets>
    <sheet name="Presupuesto" sheetId="1" r:id="rId1"/>
    <sheet name="BG" sheetId="6" r:id="rId2"/>
    <sheet name="Costos y Gastos" sheetId="8" r:id="rId3"/>
    <sheet name="Proyecciones de Ventas" sheetId="3" r:id="rId4"/>
    <sheet name="Proyecciones de Ventas (2)" sheetId="15" r:id="rId5"/>
    <sheet name="Ratios y Kpi Ventas" sheetId="4" r:id="rId6"/>
    <sheet name="Flujo de Caja" sheetId="14" r:id="rId7"/>
    <sheet name="Ventas" sheetId="5" r:id="rId8"/>
    <sheet name="Margenes" sheetId="10" r:id="rId9"/>
    <sheet name="Inventario" sheetId="11" r:id="rId10"/>
    <sheet name="Cuentas por Cobrar" sheetId="12" r:id="rId11"/>
    <sheet name="Cuentas por Pagar" sheetId="13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8" roundtripDataChecksum="vLgEw8QR4U/x8Tchc+BfLZo31XyppUyukQMgRRsG5z4="/>
    </ext>
  </extLst>
</workbook>
</file>

<file path=xl/calcChain.xml><?xml version="1.0" encoding="utf-8"?>
<calcChain xmlns="http://schemas.openxmlformats.org/spreadsheetml/2006/main">
  <c r="H64" i="15" l="1"/>
  <c r="E55" i="15"/>
  <c r="E45" i="15"/>
  <c r="E150" i="3"/>
  <c r="E53" i="15" l="1"/>
  <c r="AM57" i="15"/>
  <c r="AM51" i="15"/>
  <c r="AM50" i="15"/>
  <c r="AM49" i="15"/>
  <c r="AQ24" i="15"/>
  <c r="AJ24" i="15"/>
  <c r="AL38" i="15" s="1"/>
  <c r="AG24" i="15"/>
  <c r="AI38" i="15" s="1"/>
  <c r="AD24" i="15"/>
  <c r="AF38" i="15" s="1"/>
  <c r="AA24" i="15"/>
  <c r="X24" i="15"/>
  <c r="Z38" i="15" s="1"/>
  <c r="U24" i="15"/>
  <c r="W38" i="15" s="1"/>
  <c r="R24" i="15"/>
  <c r="T24" i="15" s="1"/>
  <c r="O24" i="15"/>
  <c r="L24" i="15"/>
  <c r="N38" i="15" s="1"/>
  <c r="I24" i="15"/>
  <c r="K38" i="15" s="1"/>
  <c r="F24" i="15"/>
  <c r="H24" i="15" s="1"/>
  <c r="C24" i="15"/>
  <c r="AQ23" i="15"/>
  <c r="AJ23" i="15"/>
  <c r="AL23" i="15" s="1"/>
  <c r="AG23" i="15"/>
  <c r="AI37" i="15" s="1"/>
  <c r="AD23" i="15"/>
  <c r="AA23" i="15"/>
  <c r="AC37" i="15" s="1"/>
  <c r="X23" i="15"/>
  <c r="Z37" i="15" s="1"/>
  <c r="U23" i="15"/>
  <c r="W23" i="15" s="1"/>
  <c r="R23" i="15"/>
  <c r="T37" i="15" s="1"/>
  <c r="O23" i="15"/>
  <c r="Q23" i="15" s="1"/>
  <c r="L23" i="15"/>
  <c r="N37" i="15" s="1"/>
  <c r="I23" i="15"/>
  <c r="K37" i="15" s="1"/>
  <c r="F23" i="15"/>
  <c r="H37" i="15" s="1"/>
  <c r="C23" i="15"/>
  <c r="E37" i="15" s="1"/>
  <c r="AQ22" i="15"/>
  <c r="AJ22" i="15"/>
  <c r="AG22" i="15"/>
  <c r="AI36" i="15" s="1"/>
  <c r="AD22" i="15"/>
  <c r="AF36" i="15" s="1"/>
  <c r="AA22" i="15"/>
  <c r="AC22" i="15" s="1"/>
  <c r="X22" i="15"/>
  <c r="U22" i="15"/>
  <c r="W36" i="15" s="1"/>
  <c r="R22" i="15"/>
  <c r="T36" i="15" s="1"/>
  <c r="O22" i="15"/>
  <c r="Q36" i="15" s="1"/>
  <c r="L22" i="15"/>
  <c r="I22" i="15"/>
  <c r="K36" i="15" s="1"/>
  <c r="F22" i="15"/>
  <c r="H36" i="15" s="1"/>
  <c r="C22" i="15"/>
  <c r="E22" i="15" s="1"/>
  <c r="AQ21" i="15"/>
  <c r="AJ21" i="15"/>
  <c r="AL21" i="15" s="1"/>
  <c r="AG21" i="15"/>
  <c r="AD21" i="15"/>
  <c r="AF35" i="15" s="1"/>
  <c r="AA21" i="15"/>
  <c r="AC35" i="15" s="1"/>
  <c r="X21" i="15"/>
  <c r="Z35" i="15" s="1"/>
  <c r="U21" i="15"/>
  <c r="W21" i="15" s="1"/>
  <c r="R21" i="15"/>
  <c r="T35" i="15" s="1"/>
  <c r="O21" i="15"/>
  <c r="Q35" i="15" s="1"/>
  <c r="L21" i="15"/>
  <c r="N21" i="15" s="1"/>
  <c r="I21" i="15"/>
  <c r="K21" i="15" s="1"/>
  <c r="F21" i="15"/>
  <c r="H35" i="15" s="1"/>
  <c r="C21" i="15"/>
  <c r="E21" i="15" s="1"/>
  <c r="AQ20" i="15"/>
  <c r="AJ20" i="15"/>
  <c r="AL20" i="15" s="1"/>
  <c r="AG20" i="15"/>
  <c r="AD20" i="15"/>
  <c r="AF34" i="15" s="1"/>
  <c r="AA20" i="15"/>
  <c r="AC34" i="15" s="1"/>
  <c r="X20" i="15"/>
  <c r="Z34" i="15" s="1"/>
  <c r="U20" i="15"/>
  <c r="R20" i="15"/>
  <c r="T20" i="15" s="1"/>
  <c r="O20" i="15"/>
  <c r="Q34" i="15" s="1"/>
  <c r="L20" i="15"/>
  <c r="N20" i="15" s="1"/>
  <c r="I20" i="15"/>
  <c r="F20" i="15"/>
  <c r="H34" i="15" s="1"/>
  <c r="C20" i="15"/>
  <c r="E34" i="15" s="1"/>
  <c r="AQ19" i="15"/>
  <c r="AJ19" i="15"/>
  <c r="AL33" i="15" s="1"/>
  <c r="AG19" i="15"/>
  <c r="AI19" i="15" s="1"/>
  <c r="AD19" i="15"/>
  <c r="AF33" i="15" s="1"/>
  <c r="AA19" i="15"/>
  <c r="AC19" i="15" s="1"/>
  <c r="X19" i="15"/>
  <c r="Z33" i="15" s="1"/>
  <c r="U19" i="15"/>
  <c r="W33" i="15" s="1"/>
  <c r="R19" i="15"/>
  <c r="T19" i="15" s="1"/>
  <c r="O19" i="15"/>
  <c r="Q33" i="15" s="1"/>
  <c r="L19" i="15"/>
  <c r="N33" i="15" s="1"/>
  <c r="I19" i="15"/>
  <c r="K19" i="15" s="1"/>
  <c r="F19" i="15"/>
  <c r="H33" i="15" s="1"/>
  <c r="C19" i="15"/>
  <c r="E33" i="15" s="1"/>
  <c r="AQ18" i="15"/>
  <c r="AJ18" i="15"/>
  <c r="AL18" i="15" s="1"/>
  <c r="AG18" i="15"/>
  <c r="AI18" i="15" s="1"/>
  <c r="AD18" i="15"/>
  <c r="AA18" i="15"/>
  <c r="AC32" i="15" s="1"/>
  <c r="X18" i="15"/>
  <c r="Z18" i="15" s="1"/>
  <c r="U18" i="15"/>
  <c r="W18" i="15" s="1"/>
  <c r="R18" i="15"/>
  <c r="T18" i="15" s="1"/>
  <c r="O18" i="15"/>
  <c r="Q32" i="15" s="1"/>
  <c r="L18" i="15"/>
  <c r="N18" i="15" s="1"/>
  <c r="I18" i="15"/>
  <c r="K18" i="15" s="1"/>
  <c r="F18" i="15"/>
  <c r="C18" i="15"/>
  <c r="E32" i="15" s="1"/>
  <c r="AQ17" i="15"/>
  <c r="AJ17" i="15"/>
  <c r="AL17" i="15" s="1"/>
  <c r="AG17" i="15"/>
  <c r="AI31" i="15" s="1"/>
  <c r="AD17" i="15"/>
  <c r="AF31" i="15" s="1"/>
  <c r="AA17" i="15"/>
  <c r="AC31" i="15" s="1"/>
  <c r="X17" i="15"/>
  <c r="Z31" i="15" s="1"/>
  <c r="U17" i="15"/>
  <c r="W31" i="15" s="1"/>
  <c r="R17" i="15"/>
  <c r="T31" i="15" s="1"/>
  <c r="O17" i="15"/>
  <c r="Q31" i="15" s="1"/>
  <c r="L17" i="15"/>
  <c r="N31" i="15" s="1"/>
  <c r="I17" i="15"/>
  <c r="K31" i="15" s="1"/>
  <c r="F17" i="15"/>
  <c r="H31" i="15" s="1"/>
  <c r="C17" i="15"/>
  <c r="E17" i="15" s="1"/>
  <c r="AQ16" i="15"/>
  <c r="AJ16" i="15"/>
  <c r="AL30" i="15" s="1"/>
  <c r="AG16" i="15"/>
  <c r="AI30" i="15" s="1"/>
  <c r="AD16" i="15"/>
  <c r="AF16" i="15" s="1"/>
  <c r="AA16" i="15"/>
  <c r="X16" i="15"/>
  <c r="Z16" i="15" s="1"/>
  <c r="U16" i="15"/>
  <c r="W16" i="15" s="1"/>
  <c r="R16" i="15"/>
  <c r="T16" i="15" s="1"/>
  <c r="O16" i="15"/>
  <c r="L16" i="15"/>
  <c r="N30" i="15" s="1"/>
  <c r="I16" i="15"/>
  <c r="K30" i="15" s="1"/>
  <c r="F16" i="15"/>
  <c r="H30" i="15" s="1"/>
  <c r="C16" i="15"/>
  <c r="AQ15" i="15"/>
  <c r="AJ15" i="15"/>
  <c r="AL15" i="15" s="1"/>
  <c r="AG15" i="15"/>
  <c r="AI29" i="15" s="1"/>
  <c r="AD15" i="15"/>
  <c r="AA15" i="15"/>
  <c r="AC29" i="15" s="1"/>
  <c r="X15" i="15"/>
  <c r="Z29" i="15" s="1"/>
  <c r="U15" i="15"/>
  <c r="W15" i="15" s="1"/>
  <c r="R15" i="15"/>
  <c r="T29" i="15" s="1"/>
  <c r="O15" i="15"/>
  <c r="Q15" i="15" s="1"/>
  <c r="L15" i="15"/>
  <c r="N29" i="15" s="1"/>
  <c r="I15" i="15"/>
  <c r="K29" i="15" s="1"/>
  <c r="F15" i="15"/>
  <c r="H29" i="15" s="1"/>
  <c r="C15" i="15"/>
  <c r="E29" i="15" s="1"/>
  <c r="AQ14" i="15"/>
  <c r="AJ14" i="15"/>
  <c r="AG14" i="15"/>
  <c r="AI28" i="15" s="1"/>
  <c r="AD14" i="15"/>
  <c r="AF28" i="15" s="1"/>
  <c r="AA14" i="15"/>
  <c r="AC14" i="15" s="1"/>
  <c r="X14" i="15"/>
  <c r="U14" i="15"/>
  <c r="W28" i="15" s="1"/>
  <c r="R14" i="15"/>
  <c r="T28" i="15" s="1"/>
  <c r="O14" i="15"/>
  <c r="L14" i="15"/>
  <c r="I14" i="15"/>
  <c r="K28" i="15" s="1"/>
  <c r="F14" i="15"/>
  <c r="H28" i="15" s="1"/>
  <c r="C14" i="15"/>
  <c r="E136" i="3"/>
  <c r="E144" i="3"/>
  <c r="E108" i="3"/>
  <c r="E106" i="3"/>
  <c r="Q19" i="15" l="1"/>
  <c r="W29" i="15"/>
  <c r="AC33" i="15"/>
  <c r="T15" i="15"/>
  <c r="AI17" i="15"/>
  <c r="AC21" i="15"/>
  <c r="AF22" i="15"/>
  <c r="K35" i="15"/>
  <c r="E19" i="15"/>
  <c r="H23" i="15"/>
  <c r="K14" i="15"/>
  <c r="N16" i="15"/>
  <c r="E20" i="15"/>
  <c r="N24" i="15"/>
  <c r="AI24" i="15"/>
  <c r="Q37" i="15"/>
  <c r="W14" i="15"/>
  <c r="AL19" i="15"/>
  <c r="E35" i="15"/>
  <c r="AF14" i="15"/>
  <c r="AN21" i="15"/>
  <c r="AI22" i="15"/>
  <c r="AI23" i="15"/>
  <c r="W37" i="15"/>
  <c r="Z23" i="15"/>
  <c r="AF19" i="15"/>
  <c r="T22" i="15"/>
  <c r="K15" i="15"/>
  <c r="W17" i="15"/>
  <c r="Q21" i="15"/>
  <c r="N23" i="15"/>
  <c r="AL29" i="15"/>
  <c r="T14" i="15"/>
  <c r="AI14" i="15"/>
  <c r="Z15" i="15"/>
  <c r="AI16" i="15"/>
  <c r="K17" i="15"/>
  <c r="H19" i="15"/>
  <c r="AF21" i="15"/>
  <c r="H22" i="15"/>
  <c r="W22" i="15"/>
  <c r="AN23" i="15"/>
  <c r="W24" i="15"/>
  <c r="AL24" i="15"/>
  <c r="W30" i="15"/>
  <c r="T32" i="15"/>
  <c r="AI33" i="15"/>
  <c r="W35" i="15"/>
  <c r="AL37" i="15"/>
  <c r="T33" i="15"/>
  <c r="H20" i="15"/>
  <c r="N15" i="15"/>
  <c r="Z17" i="15"/>
  <c r="Q18" i="15"/>
  <c r="AC20" i="15"/>
  <c r="T21" i="15"/>
  <c r="AF23" i="15"/>
  <c r="Z30" i="15"/>
  <c r="Z32" i="15"/>
  <c r="AN17" i="15"/>
  <c r="N32" i="15"/>
  <c r="H14" i="15"/>
  <c r="AN15" i="15"/>
  <c r="AL16" i="15"/>
  <c r="N17" i="15"/>
  <c r="Z19" i="15"/>
  <c r="AN19" i="15"/>
  <c r="H21" i="15"/>
  <c r="AI21" i="15"/>
  <c r="K22" i="15"/>
  <c r="T23" i="15"/>
  <c r="K24" i="15"/>
  <c r="Z24" i="15"/>
  <c r="E31" i="15"/>
  <c r="AL32" i="15"/>
  <c r="N34" i="15"/>
  <c r="AI35" i="15"/>
  <c r="AC18" i="15"/>
  <c r="AF15" i="15"/>
  <c r="AC17" i="15"/>
  <c r="E18" i="15"/>
  <c r="N19" i="15"/>
  <c r="Q20" i="15"/>
  <c r="AF20" i="15"/>
  <c r="T34" i="15"/>
  <c r="K16" i="15"/>
  <c r="Q17" i="15"/>
  <c r="H15" i="15"/>
  <c r="AI15" i="15"/>
  <c r="K23" i="15"/>
  <c r="Q29" i="15"/>
  <c r="K33" i="15"/>
  <c r="AL34" i="15"/>
  <c r="Q28" i="15"/>
  <c r="Q14" i="15"/>
  <c r="Q24" i="15"/>
  <c r="Q38" i="15"/>
  <c r="H32" i="15"/>
  <c r="H18" i="15"/>
  <c r="AI20" i="15"/>
  <c r="AI34" i="15"/>
  <c r="Q16" i="15"/>
  <c r="Q30" i="15"/>
  <c r="W34" i="15"/>
  <c r="W20" i="15"/>
  <c r="AC38" i="15"/>
  <c r="AC24" i="15"/>
  <c r="E14" i="15"/>
  <c r="E28" i="15"/>
  <c r="AN22" i="15"/>
  <c r="AL36" i="15"/>
  <c r="AL22" i="15"/>
  <c r="E38" i="15"/>
  <c r="E24" i="15"/>
  <c r="N36" i="15"/>
  <c r="N22" i="15"/>
  <c r="N28" i="15"/>
  <c r="N14" i="15"/>
  <c r="AL28" i="15"/>
  <c r="AN14" i="15"/>
  <c r="AL14" i="15"/>
  <c r="E30" i="15"/>
  <c r="E16" i="15"/>
  <c r="AF32" i="15"/>
  <c r="AF18" i="15"/>
  <c r="K20" i="15"/>
  <c r="K34" i="15"/>
  <c r="AC30" i="15"/>
  <c r="AC16" i="15"/>
  <c r="Z22" i="15"/>
  <c r="Z36" i="15"/>
  <c r="Z14" i="15"/>
  <c r="Z28" i="15"/>
  <c r="AN20" i="15"/>
  <c r="AF29" i="15"/>
  <c r="K32" i="15"/>
  <c r="AI32" i="15"/>
  <c r="N35" i="15"/>
  <c r="AL35" i="15"/>
  <c r="AF37" i="15"/>
  <c r="E15" i="15"/>
  <c r="AC15" i="15"/>
  <c r="H17" i="15"/>
  <c r="T17" i="15"/>
  <c r="AF17" i="15"/>
  <c r="W19" i="15"/>
  <c r="Z21" i="15"/>
  <c r="E23" i="15"/>
  <c r="AC23" i="15"/>
  <c r="T30" i="15"/>
  <c r="T38" i="15"/>
  <c r="AN18" i="15"/>
  <c r="AC28" i="15"/>
  <c r="E36" i="15"/>
  <c r="AC36" i="15"/>
  <c r="AN16" i="15"/>
  <c r="AN24" i="15"/>
  <c r="AL31" i="15"/>
  <c r="W32" i="15"/>
  <c r="AF30" i="15"/>
  <c r="H38" i="15"/>
  <c r="H16" i="15"/>
  <c r="Z20" i="15"/>
  <c r="Q22" i="15"/>
  <c r="AF24" i="15"/>
  <c r="E27" i="15" l="1"/>
  <c r="AM33" i="15"/>
  <c r="AM19" i="15"/>
  <c r="H27" i="15"/>
  <c r="AI26" i="15"/>
  <c r="AI58" i="15" s="1"/>
  <c r="AM31" i="15"/>
  <c r="AM38" i="15"/>
  <c r="AF27" i="15"/>
  <c r="AI27" i="15"/>
  <c r="AC26" i="15"/>
  <c r="AC58" i="15" s="1"/>
  <c r="AM23" i="15"/>
  <c r="AM35" i="15"/>
  <c r="T27" i="15"/>
  <c r="AM16" i="15"/>
  <c r="AM21" i="15"/>
  <c r="AM20" i="15"/>
  <c r="AM30" i="15"/>
  <c r="AM17" i="15"/>
  <c r="AM18" i="15"/>
  <c r="W27" i="15"/>
  <c r="AM37" i="15"/>
  <c r="AM34" i="15"/>
  <c r="H26" i="15"/>
  <c r="H58" i="15" s="1"/>
  <c r="K26" i="15"/>
  <c r="K58" i="15" s="1"/>
  <c r="W26" i="15"/>
  <c r="W58" i="15" s="1"/>
  <c r="T26" i="15"/>
  <c r="T58" i="15" s="1"/>
  <c r="K27" i="15"/>
  <c r="AM24" i="15"/>
  <c r="Z27" i="15"/>
  <c r="AM15" i="15"/>
  <c r="Q27" i="15"/>
  <c r="AM22" i="15"/>
  <c r="AM29" i="15"/>
  <c r="AM14" i="15"/>
  <c r="AL26" i="15"/>
  <c r="AL58" i="15" s="1"/>
  <c r="Z26" i="15"/>
  <c r="Z58" i="15" s="1"/>
  <c r="AC27" i="15"/>
  <c r="AM32" i="15"/>
  <c r="N26" i="15"/>
  <c r="N58" i="15" s="1"/>
  <c r="AM36" i="15"/>
  <c r="E26" i="15"/>
  <c r="AF26" i="15"/>
  <c r="AF58" i="15" s="1"/>
  <c r="AM28" i="15"/>
  <c r="AL27" i="15"/>
  <c r="Q26" i="15"/>
  <c r="Q58" i="15" s="1"/>
  <c r="N27" i="15"/>
  <c r="E58" i="15" l="1"/>
  <c r="AM58" i="15" s="1"/>
  <c r="C41" i="15"/>
  <c r="AM27" i="15"/>
  <c r="AM26" i="15"/>
  <c r="E142" i="3"/>
  <c r="E140" i="3"/>
  <c r="E134" i="3"/>
  <c r="E125" i="3"/>
  <c r="AM123" i="3"/>
  <c r="E111" i="3"/>
  <c r="E123" i="3"/>
  <c r="AM45" i="15" l="1"/>
  <c r="E59" i="15"/>
  <c r="AL53" i="15"/>
  <c r="AL55" i="15" s="1"/>
  <c r="AL59" i="15" s="1"/>
  <c r="AF53" i="15"/>
  <c r="AF55" i="15" s="1"/>
  <c r="AF59" i="15" s="1"/>
  <c r="N53" i="15"/>
  <c r="N55" i="15" s="1"/>
  <c r="N59" i="15" s="1"/>
  <c r="Q53" i="15"/>
  <c r="Q55" i="15" s="1"/>
  <c r="Q59" i="15" s="1"/>
  <c r="K53" i="15"/>
  <c r="K55" i="15" s="1"/>
  <c r="K59" i="15" s="1"/>
  <c r="H53" i="15"/>
  <c r="H55" i="15" s="1"/>
  <c r="H59" i="15" s="1"/>
  <c r="AC53" i="15"/>
  <c r="AC55" i="15" s="1"/>
  <c r="AC59" i="15" s="1"/>
  <c r="T53" i="15"/>
  <c r="T55" i="15" s="1"/>
  <c r="T59" i="15" s="1"/>
  <c r="AI53" i="15"/>
  <c r="AI55" i="15" s="1"/>
  <c r="AI59" i="15" s="1"/>
  <c r="Z53" i="15"/>
  <c r="Z55" i="15" s="1"/>
  <c r="Z59" i="15" s="1"/>
  <c r="W53" i="15"/>
  <c r="W55" i="15" s="1"/>
  <c r="W59" i="15" s="1"/>
  <c r="N68" i="15" l="1"/>
  <c r="N64" i="15"/>
  <c r="N66" i="15"/>
  <c r="AF66" i="15"/>
  <c r="AF64" i="15"/>
  <c r="AF68" i="15"/>
  <c r="W68" i="15"/>
  <c r="W66" i="15"/>
  <c r="W64" i="15"/>
  <c r="Q64" i="15"/>
  <c r="Q68" i="15"/>
  <c r="Q66" i="15"/>
  <c r="H66" i="15"/>
  <c r="H68" i="15"/>
  <c r="K68" i="15"/>
  <c r="K66" i="15"/>
  <c r="K64" i="15"/>
  <c r="Z66" i="15"/>
  <c r="Z64" i="15"/>
  <c r="Z68" i="15"/>
  <c r="AI68" i="15"/>
  <c r="AI64" i="15"/>
  <c r="AI66" i="15"/>
  <c r="AL64" i="15"/>
  <c r="AL68" i="15"/>
  <c r="AL66" i="15"/>
  <c r="AM59" i="15"/>
  <c r="T66" i="15"/>
  <c r="T68" i="15"/>
  <c r="T64" i="15"/>
  <c r="E68" i="15"/>
  <c r="E66" i="15"/>
  <c r="E64" i="15"/>
  <c r="AC66" i="15"/>
  <c r="AC64" i="15"/>
  <c r="AC68" i="15"/>
  <c r="AM53" i="15"/>
  <c r="AM68" i="15" l="1"/>
  <c r="AM64" i="15"/>
  <c r="AM66" i="15"/>
  <c r="AM55" i="15"/>
  <c r="D25" i="1" l="1"/>
  <c r="D26" i="1"/>
  <c r="D27" i="1"/>
  <c r="D28" i="1"/>
  <c r="D29" i="1"/>
  <c r="D30" i="1"/>
  <c r="D31" i="1"/>
  <c r="D32" i="1"/>
  <c r="D33" i="1"/>
  <c r="D34" i="1"/>
  <c r="D23" i="1"/>
  <c r="D14" i="1"/>
  <c r="D12" i="1"/>
  <c r="D11" i="1"/>
  <c r="D10" i="1"/>
  <c r="D9" i="1"/>
  <c r="D8" i="1"/>
  <c r="D7" i="1"/>
  <c r="D5" i="1"/>
  <c r="AL152" i="3"/>
  <c r="AI152" i="3"/>
  <c r="AF152" i="3"/>
  <c r="AC152" i="3"/>
  <c r="Z152" i="3"/>
  <c r="W152" i="3"/>
  <c r="T152" i="3"/>
  <c r="Q152" i="3"/>
  <c r="N152" i="3"/>
  <c r="K152" i="3"/>
  <c r="H152" i="3"/>
  <c r="AL150" i="3"/>
  <c r="AI150" i="3"/>
  <c r="AF150" i="3"/>
  <c r="AC150" i="3"/>
  <c r="Z150" i="3"/>
  <c r="W150" i="3"/>
  <c r="T150" i="3"/>
  <c r="Q150" i="3"/>
  <c r="N150" i="3"/>
  <c r="K150" i="3"/>
  <c r="H150" i="3"/>
  <c r="AL148" i="3"/>
  <c r="AI148" i="3"/>
  <c r="AF148" i="3"/>
  <c r="AC148" i="3"/>
  <c r="Z148" i="3"/>
  <c r="W148" i="3"/>
  <c r="T148" i="3"/>
  <c r="Q148" i="3"/>
  <c r="N148" i="3"/>
  <c r="K148" i="3"/>
  <c r="H148" i="3"/>
  <c r="AL144" i="3"/>
  <c r="AI144" i="3"/>
  <c r="AF144" i="3"/>
  <c r="AC144" i="3"/>
  <c r="Z144" i="3"/>
  <c r="W144" i="3"/>
  <c r="T144" i="3"/>
  <c r="Q144" i="3"/>
  <c r="N144" i="3"/>
  <c r="K144" i="3"/>
  <c r="H144" i="3"/>
  <c r="AL142" i="3"/>
  <c r="AI142" i="3"/>
  <c r="AF142" i="3"/>
  <c r="AC142" i="3"/>
  <c r="Z142" i="3"/>
  <c r="W142" i="3"/>
  <c r="T142" i="3"/>
  <c r="Q142" i="3"/>
  <c r="N142" i="3"/>
  <c r="K142" i="3"/>
  <c r="H142" i="3"/>
  <c r="AL140" i="3"/>
  <c r="AI140" i="3"/>
  <c r="AF140" i="3"/>
  <c r="AC140" i="3"/>
  <c r="Z140" i="3"/>
  <c r="W140" i="3"/>
  <c r="T140" i="3"/>
  <c r="Q140" i="3"/>
  <c r="N140" i="3"/>
  <c r="K140" i="3"/>
  <c r="H140" i="3"/>
  <c r="AM138" i="3"/>
  <c r="AJ101" i="3"/>
  <c r="AJ100" i="3"/>
  <c r="AJ99" i="3"/>
  <c r="AJ98" i="3"/>
  <c r="AJ97" i="3"/>
  <c r="AJ96" i="3"/>
  <c r="AJ95" i="3"/>
  <c r="AJ94" i="3"/>
  <c r="AJ93" i="3"/>
  <c r="AJ92" i="3"/>
  <c r="AJ91" i="3"/>
  <c r="AG101" i="3"/>
  <c r="AG100" i="3"/>
  <c r="AG99" i="3"/>
  <c r="AG98" i="3"/>
  <c r="AG97" i="3"/>
  <c r="AG96" i="3"/>
  <c r="AG95" i="3"/>
  <c r="AG94" i="3"/>
  <c r="AG93" i="3"/>
  <c r="AG92" i="3"/>
  <c r="AG91" i="3"/>
  <c r="AD101" i="3"/>
  <c r="AD100" i="3"/>
  <c r="AD99" i="3"/>
  <c r="AD98" i="3"/>
  <c r="AD97" i="3"/>
  <c r="AD96" i="3"/>
  <c r="AD95" i="3"/>
  <c r="AD94" i="3"/>
  <c r="AD93" i="3"/>
  <c r="AD92" i="3"/>
  <c r="AD91" i="3"/>
  <c r="AA101" i="3"/>
  <c r="AA100" i="3"/>
  <c r="AA99" i="3"/>
  <c r="AA98" i="3"/>
  <c r="AA97" i="3"/>
  <c r="AA96" i="3"/>
  <c r="AA95" i="3"/>
  <c r="AA94" i="3"/>
  <c r="AA93" i="3"/>
  <c r="AA92" i="3"/>
  <c r="AA91" i="3"/>
  <c r="X101" i="3"/>
  <c r="X100" i="3"/>
  <c r="X99" i="3"/>
  <c r="X98" i="3"/>
  <c r="X97" i="3"/>
  <c r="X96" i="3"/>
  <c r="X95" i="3"/>
  <c r="X94" i="3"/>
  <c r="X93" i="3"/>
  <c r="X92" i="3"/>
  <c r="X91" i="3"/>
  <c r="U101" i="3"/>
  <c r="U100" i="3"/>
  <c r="U99" i="3"/>
  <c r="U98" i="3"/>
  <c r="U97" i="3"/>
  <c r="U96" i="3"/>
  <c r="U95" i="3"/>
  <c r="U94" i="3"/>
  <c r="U93" i="3"/>
  <c r="U92" i="3"/>
  <c r="U91" i="3"/>
  <c r="R101" i="3"/>
  <c r="R100" i="3"/>
  <c r="R99" i="3"/>
  <c r="R98" i="3"/>
  <c r="R97" i="3"/>
  <c r="R96" i="3"/>
  <c r="R95" i="3"/>
  <c r="R94" i="3"/>
  <c r="R93" i="3"/>
  <c r="R92" i="3"/>
  <c r="R91" i="3"/>
  <c r="O101" i="3"/>
  <c r="O100" i="3"/>
  <c r="O99" i="3"/>
  <c r="O98" i="3"/>
  <c r="O97" i="3"/>
  <c r="O96" i="3"/>
  <c r="O95" i="3"/>
  <c r="O94" i="3"/>
  <c r="O93" i="3"/>
  <c r="O92" i="3"/>
  <c r="O91" i="3"/>
  <c r="L101" i="3"/>
  <c r="L100" i="3"/>
  <c r="L99" i="3"/>
  <c r="L98" i="3"/>
  <c r="L97" i="3"/>
  <c r="L96" i="3"/>
  <c r="L95" i="3"/>
  <c r="L94" i="3"/>
  <c r="L93" i="3"/>
  <c r="L92" i="3"/>
  <c r="L91" i="3"/>
  <c r="I101" i="3"/>
  <c r="I100" i="3"/>
  <c r="I99" i="3"/>
  <c r="I98" i="3"/>
  <c r="I97" i="3"/>
  <c r="I96" i="3"/>
  <c r="I95" i="3"/>
  <c r="I94" i="3"/>
  <c r="I93" i="3"/>
  <c r="I92" i="3"/>
  <c r="I91" i="3"/>
  <c r="F101" i="3"/>
  <c r="F100" i="3"/>
  <c r="F99" i="3"/>
  <c r="F98" i="3"/>
  <c r="F97" i="3"/>
  <c r="F96" i="3"/>
  <c r="F95" i="3"/>
  <c r="F94" i="3"/>
  <c r="F93" i="3"/>
  <c r="F92" i="3"/>
  <c r="F91" i="3"/>
  <c r="C101" i="3"/>
  <c r="C100" i="3"/>
  <c r="C99" i="3"/>
  <c r="C98" i="3"/>
  <c r="C97" i="3"/>
  <c r="C96" i="3"/>
  <c r="C95" i="3"/>
  <c r="C94" i="3"/>
  <c r="C93" i="3"/>
  <c r="C92" i="3"/>
  <c r="C91" i="3"/>
  <c r="AQ101" i="3"/>
  <c r="AQ100" i="3"/>
  <c r="AQ99" i="3"/>
  <c r="AQ98" i="3"/>
  <c r="AQ97" i="3"/>
  <c r="AQ96" i="3"/>
  <c r="AQ95" i="3"/>
  <c r="AQ94" i="3"/>
  <c r="AQ93" i="3"/>
  <c r="AQ92" i="3"/>
  <c r="AQ91" i="3"/>
  <c r="E41" i="1"/>
  <c r="F41" i="1" s="1"/>
  <c r="F40" i="1"/>
  <c r="G40" i="1"/>
  <c r="E19" i="8"/>
  <c r="E17" i="8"/>
  <c r="E16" i="8"/>
  <c r="E15" i="8"/>
  <c r="E14" i="8"/>
  <c r="E13" i="8"/>
  <c r="E12" i="8"/>
  <c r="E11" i="8"/>
  <c r="E10" i="8"/>
  <c r="E9" i="8"/>
  <c r="E8" i="8"/>
  <c r="E7" i="8"/>
  <c r="E6" i="8"/>
  <c r="C80" i="3"/>
  <c r="C85" i="8" a="1"/>
  <c r="C85" i="8" s="1"/>
  <c r="C91" i="8" a="1"/>
  <c r="C91" i="8" s="1"/>
  <c r="C7" i="8"/>
  <c r="C19" i="8" s="1"/>
  <c r="G41" i="1" l="1"/>
  <c r="C15" i="1"/>
  <c r="D15" i="1" s="1"/>
  <c r="AM131" i="3" l="1"/>
  <c r="AM130" i="3"/>
  <c r="AM129" i="3"/>
  <c r="AL121" i="3"/>
  <c r="AL120" i="3"/>
  <c r="AL119" i="3"/>
  <c r="AL118" i="3"/>
  <c r="AL117" i="3"/>
  <c r="AL116" i="3"/>
  <c r="AL115" i="3"/>
  <c r="AL114" i="3"/>
  <c r="AL113" i="3"/>
  <c r="AL112" i="3"/>
  <c r="AL111" i="3"/>
  <c r="AI121" i="3"/>
  <c r="AI120" i="3"/>
  <c r="AI119" i="3"/>
  <c r="AI118" i="3"/>
  <c r="AI117" i="3"/>
  <c r="AI116" i="3"/>
  <c r="AI115" i="3"/>
  <c r="AI114" i="3"/>
  <c r="AI113" i="3"/>
  <c r="AI112" i="3"/>
  <c r="AI111" i="3"/>
  <c r="AF121" i="3"/>
  <c r="AF120" i="3"/>
  <c r="AF119" i="3"/>
  <c r="AF118" i="3"/>
  <c r="AF117" i="3"/>
  <c r="AF116" i="3"/>
  <c r="AF115" i="3"/>
  <c r="AF114" i="3"/>
  <c r="AF113" i="3"/>
  <c r="AF112" i="3"/>
  <c r="AF111" i="3"/>
  <c r="AC121" i="3"/>
  <c r="AC120" i="3"/>
  <c r="AC119" i="3"/>
  <c r="AC118" i="3"/>
  <c r="AC117" i="3"/>
  <c r="AC116" i="3"/>
  <c r="AC115" i="3"/>
  <c r="AC114" i="3"/>
  <c r="AC113" i="3"/>
  <c r="AC112" i="3"/>
  <c r="AC111" i="3"/>
  <c r="Z121" i="3"/>
  <c r="Z120" i="3"/>
  <c r="Z119" i="3"/>
  <c r="Z118" i="3"/>
  <c r="Z117" i="3"/>
  <c r="Z116" i="3"/>
  <c r="Z115" i="3"/>
  <c r="Z114" i="3"/>
  <c r="Z113" i="3"/>
  <c r="Z112" i="3"/>
  <c r="Z111" i="3"/>
  <c r="W121" i="3"/>
  <c r="W120" i="3"/>
  <c r="W119" i="3"/>
  <c r="W118" i="3"/>
  <c r="W117" i="3"/>
  <c r="W116" i="3"/>
  <c r="W115" i="3"/>
  <c r="W114" i="3"/>
  <c r="W113" i="3"/>
  <c r="W112" i="3"/>
  <c r="W111" i="3"/>
  <c r="T121" i="3"/>
  <c r="T120" i="3"/>
  <c r="T119" i="3"/>
  <c r="T118" i="3"/>
  <c r="T117" i="3"/>
  <c r="T116" i="3"/>
  <c r="T115" i="3"/>
  <c r="T114" i="3"/>
  <c r="T113" i="3"/>
  <c r="T112" i="3"/>
  <c r="T111" i="3"/>
  <c r="Q121" i="3"/>
  <c r="Q120" i="3"/>
  <c r="Q119" i="3"/>
  <c r="Q118" i="3"/>
  <c r="Q117" i="3"/>
  <c r="Q116" i="3"/>
  <c r="Q115" i="3"/>
  <c r="Q114" i="3"/>
  <c r="Q113" i="3"/>
  <c r="Q112" i="3"/>
  <c r="Q111" i="3"/>
  <c r="N121" i="3"/>
  <c r="N120" i="3"/>
  <c r="N119" i="3"/>
  <c r="N118" i="3"/>
  <c r="N117" i="3"/>
  <c r="N116" i="3"/>
  <c r="N115" i="3"/>
  <c r="N114" i="3"/>
  <c r="N113" i="3"/>
  <c r="N112" i="3"/>
  <c r="N111" i="3"/>
  <c r="K121" i="3"/>
  <c r="K120" i="3"/>
  <c r="K119" i="3"/>
  <c r="K118" i="3"/>
  <c r="K117" i="3"/>
  <c r="K116" i="3"/>
  <c r="K115" i="3"/>
  <c r="K114" i="3"/>
  <c r="K113" i="3"/>
  <c r="K112" i="3"/>
  <c r="K111" i="3"/>
  <c r="H121" i="3"/>
  <c r="H120" i="3"/>
  <c r="H119" i="3"/>
  <c r="H118" i="3"/>
  <c r="H117" i="3"/>
  <c r="H116" i="3"/>
  <c r="H115" i="3"/>
  <c r="H114" i="3"/>
  <c r="H113" i="3"/>
  <c r="H112" i="3"/>
  <c r="H111" i="3"/>
  <c r="E121" i="3"/>
  <c r="E120" i="3"/>
  <c r="E119" i="3"/>
  <c r="E118" i="3"/>
  <c r="E117" i="3"/>
  <c r="E116" i="3"/>
  <c r="E115" i="3"/>
  <c r="E114" i="3"/>
  <c r="E113" i="3"/>
  <c r="E112" i="3"/>
  <c r="AN101" i="3"/>
  <c r="AN100" i="3"/>
  <c r="AN99" i="3"/>
  <c r="AN98" i="3"/>
  <c r="AN97" i="3"/>
  <c r="AN96" i="3"/>
  <c r="AN95" i="3"/>
  <c r="AN94" i="3"/>
  <c r="AN93" i="3"/>
  <c r="AN92" i="3"/>
  <c r="AN91" i="3"/>
  <c r="AL101" i="3"/>
  <c r="AL100" i="3"/>
  <c r="AL99" i="3"/>
  <c r="AL98" i="3"/>
  <c r="AL97" i="3"/>
  <c r="AL96" i="3"/>
  <c r="AL95" i="3"/>
  <c r="AL94" i="3"/>
  <c r="AL93" i="3"/>
  <c r="AL92" i="3"/>
  <c r="AL91" i="3"/>
  <c r="AI101" i="3"/>
  <c r="AI100" i="3"/>
  <c r="AI99" i="3"/>
  <c r="AI98" i="3"/>
  <c r="AI97" i="3"/>
  <c r="AI96" i="3"/>
  <c r="AI95" i="3"/>
  <c r="AI94" i="3"/>
  <c r="AI93" i="3"/>
  <c r="AI92" i="3"/>
  <c r="AI91" i="3"/>
  <c r="AF101" i="3"/>
  <c r="AF100" i="3"/>
  <c r="AF99" i="3"/>
  <c r="AF98" i="3"/>
  <c r="AF97" i="3"/>
  <c r="AF96" i="3"/>
  <c r="AF95" i="3"/>
  <c r="AF94" i="3"/>
  <c r="AF93" i="3"/>
  <c r="AF92" i="3"/>
  <c r="AF91" i="3"/>
  <c r="AC101" i="3"/>
  <c r="AC100" i="3"/>
  <c r="AC99" i="3"/>
  <c r="AC98" i="3"/>
  <c r="AC97" i="3"/>
  <c r="AC96" i="3"/>
  <c r="AC95" i="3"/>
  <c r="AC94" i="3"/>
  <c r="AC93" i="3"/>
  <c r="AC92" i="3"/>
  <c r="AC91" i="3"/>
  <c r="Z101" i="3"/>
  <c r="Z100" i="3"/>
  <c r="Z99" i="3"/>
  <c r="Z98" i="3"/>
  <c r="Z97" i="3"/>
  <c r="Z96" i="3"/>
  <c r="Z95" i="3"/>
  <c r="Z94" i="3"/>
  <c r="Z93" i="3"/>
  <c r="Z92" i="3"/>
  <c r="Z91" i="3"/>
  <c r="W101" i="3"/>
  <c r="W100" i="3"/>
  <c r="W99" i="3"/>
  <c r="W98" i="3"/>
  <c r="W97" i="3"/>
  <c r="W96" i="3"/>
  <c r="W95" i="3"/>
  <c r="W94" i="3"/>
  <c r="W93" i="3"/>
  <c r="W92" i="3"/>
  <c r="W91" i="3"/>
  <c r="T101" i="3"/>
  <c r="T100" i="3"/>
  <c r="T99" i="3"/>
  <c r="T98" i="3"/>
  <c r="T97" i="3"/>
  <c r="T96" i="3"/>
  <c r="T95" i="3"/>
  <c r="T94" i="3"/>
  <c r="T93" i="3"/>
  <c r="T92" i="3"/>
  <c r="T91" i="3"/>
  <c r="Q101" i="3"/>
  <c r="Q100" i="3"/>
  <c r="Q99" i="3"/>
  <c r="Q98" i="3"/>
  <c r="Q97" i="3"/>
  <c r="Q96" i="3"/>
  <c r="Q95" i="3"/>
  <c r="Q94" i="3"/>
  <c r="Q93" i="3"/>
  <c r="Q92" i="3"/>
  <c r="Q91" i="3"/>
  <c r="N101" i="3"/>
  <c r="N100" i="3"/>
  <c r="N99" i="3"/>
  <c r="N98" i="3"/>
  <c r="N97" i="3"/>
  <c r="N96" i="3"/>
  <c r="N95" i="3"/>
  <c r="N94" i="3"/>
  <c r="N93" i="3"/>
  <c r="N92" i="3"/>
  <c r="N91" i="3"/>
  <c r="K101" i="3"/>
  <c r="K100" i="3"/>
  <c r="K99" i="3"/>
  <c r="K98" i="3"/>
  <c r="K97" i="3"/>
  <c r="K96" i="3"/>
  <c r="K95" i="3"/>
  <c r="K94" i="3"/>
  <c r="K93" i="3"/>
  <c r="K92" i="3"/>
  <c r="K91" i="3"/>
  <c r="H101" i="3"/>
  <c r="H100" i="3"/>
  <c r="H99" i="3"/>
  <c r="H98" i="3"/>
  <c r="H97" i="3"/>
  <c r="H96" i="3"/>
  <c r="H95" i="3"/>
  <c r="H94" i="3"/>
  <c r="H93" i="3"/>
  <c r="H92" i="3"/>
  <c r="H91" i="3"/>
  <c r="E101" i="3"/>
  <c r="E100" i="3"/>
  <c r="E99" i="3"/>
  <c r="E98" i="3"/>
  <c r="E97" i="3"/>
  <c r="E96" i="3"/>
  <c r="E95" i="3"/>
  <c r="E94" i="3"/>
  <c r="E93" i="3"/>
  <c r="E92" i="3"/>
  <c r="E91" i="3"/>
  <c r="AL123" i="3" l="1"/>
  <c r="AF103" i="3"/>
  <c r="Z123" i="3"/>
  <c r="AC123" i="3"/>
  <c r="T103" i="3"/>
  <c r="T105" i="3" s="1"/>
  <c r="T106" i="3" s="1"/>
  <c r="T108" i="3" s="1"/>
  <c r="AI103" i="3"/>
  <c r="AI134" i="3" s="1"/>
  <c r="AM99" i="3"/>
  <c r="AC103" i="3"/>
  <c r="AC105" i="3" s="1"/>
  <c r="AC106" i="3" s="1"/>
  <c r="AM93" i="3"/>
  <c r="W123" i="3"/>
  <c r="K103" i="3"/>
  <c r="K105" i="3" s="1"/>
  <c r="K106" i="3" s="1"/>
  <c r="K108" i="3" s="1"/>
  <c r="K125" i="3" s="1"/>
  <c r="N103" i="3"/>
  <c r="N134" i="3" s="1"/>
  <c r="AM91" i="3"/>
  <c r="AF123" i="3"/>
  <c r="AM121" i="3"/>
  <c r="W103" i="3"/>
  <c r="W134" i="3" s="1"/>
  <c r="Q123" i="3"/>
  <c r="AM101" i="3"/>
  <c r="K123" i="3"/>
  <c r="N123" i="3"/>
  <c r="AI123" i="3"/>
  <c r="Q103" i="3"/>
  <c r="Q134" i="3" s="1"/>
  <c r="Z103" i="3"/>
  <c r="Z134" i="3" s="1"/>
  <c r="T123" i="3"/>
  <c r="AF105" i="3"/>
  <c r="AF106" i="3" s="1"/>
  <c r="AF108" i="3" s="1"/>
  <c r="AF134" i="3"/>
  <c r="Q105" i="3"/>
  <c r="Q106" i="3" s="1"/>
  <c r="Q108" i="3" s="1"/>
  <c r="AM96" i="3"/>
  <c r="AM119" i="3"/>
  <c r="AM94" i="3"/>
  <c r="AM98" i="3"/>
  <c r="AM116" i="3"/>
  <c r="AM92" i="3"/>
  <c r="AM97" i="3"/>
  <c r="AL103" i="3"/>
  <c r="AM117" i="3"/>
  <c r="AM95" i="3"/>
  <c r="AM100" i="3"/>
  <c r="AM118" i="3"/>
  <c r="AM120" i="3"/>
  <c r="H103" i="3"/>
  <c r="AM115" i="3"/>
  <c r="AM114" i="3"/>
  <c r="AM113" i="3"/>
  <c r="H123" i="3"/>
  <c r="AM111" i="3"/>
  <c r="E103" i="3"/>
  <c r="AM112" i="3"/>
  <c r="AI105" i="3" l="1"/>
  <c r="AI106" i="3" s="1"/>
  <c r="AI108" i="3" s="1"/>
  <c r="AI125" i="3" s="1"/>
  <c r="AF125" i="3"/>
  <c r="AC108" i="3"/>
  <c r="AC125" i="3" s="1"/>
  <c r="AC134" i="3"/>
  <c r="Z105" i="3"/>
  <c r="Z106" i="3" s="1"/>
  <c r="Z108" i="3" s="1"/>
  <c r="T125" i="3"/>
  <c r="T134" i="3"/>
  <c r="T136" i="3" s="1"/>
  <c r="Q125" i="3"/>
  <c r="N105" i="3"/>
  <c r="N106" i="3" s="1"/>
  <c r="N108" i="3" s="1"/>
  <c r="N125" i="3" s="1"/>
  <c r="AM103" i="3"/>
  <c r="AM105" i="3" s="1"/>
  <c r="AM106" i="3" s="1"/>
  <c r="AM108" i="3" s="1"/>
  <c r="K134" i="3"/>
  <c r="K136" i="3" s="1"/>
  <c r="W105" i="3"/>
  <c r="W106" i="3" s="1"/>
  <c r="W108" i="3" s="1"/>
  <c r="W125" i="3" s="1"/>
  <c r="AF136" i="3"/>
  <c r="AL134" i="3"/>
  <c r="AL105" i="3"/>
  <c r="AL106" i="3" s="1"/>
  <c r="AL108" i="3" s="1"/>
  <c r="AL125" i="3" s="1"/>
  <c r="Q136" i="3"/>
  <c r="H134" i="3"/>
  <c r="H105" i="3"/>
  <c r="H106" i="3" s="1"/>
  <c r="H108" i="3" s="1"/>
  <c r="E105" i="3"/>
  <c r="AI136" i="3" l="1"/>
  <c r="AC136" i="3"/>
  <c r="Z125" i="3"/>
  <c r="Z136" i="3"/>
  <c r="W136" i="3"/>
  <c r="N136" i="3"/>
  <c r="AM125" i="3"/>
  <c r="AL136" i="3"/>
  <c r="H136" i="3"/>
  <c r="H125" i="3"/>
  <c r="AM132" i="3"/>
  <c r="AM134" i="3"/>
  <c r="AM136" i="3" l="1"/>
  <c r="K79" i="3"/>
  <c r="L79" i="3" s="1"/>
  <c r="M79" i="3" s="1"/>
  <c r="K78" i="3"/>
  <c r="L78" i="3" s="1"/>
  <c r="M78" i="3" s="1"/>
  <c r="K77" i="3"/>
  <c r="L77" i="3" s="1"/>
  <c r="J80" i="3"/>
  <c r="J82" i="3" s="1"/>
  <c r="I80" i="3"/>
  <c r="I82" i="3" s="1"/>
  <c r="H80" i="3"/>
  <c r="H82" i="3" s="1"/>
  <c r="G80" i="3"/>
  <c r="G82" i="3" s="1"/>
  <c r="F80" i="3"/>
  <c r="F82" i="3" s="1"/>
  <c r="E80" i="3"/>
  <c r="E82" i="3" s="1"/>
  <c r="D80" i="3"/>
  <c r="D82" i="3" s="1"/>
  <c r="M68" i="3"/>
  <c r="M69" i="3" s="1"/>
  <c r="M71" i="3" s="1"/>
  <c r="M73" i="3" s="1"/>
  <c r="L68" i="3"/>
  <c r="L69" i="3" s="1"/>
  <c r="L71" i="3" s="1"/>
  <c r="L73" i="3" s="1"/>
  <c r="K68" i="3"/>
  <c r="K69" i="3" s="1"/>
  <c r="K71" i="3" s="1"/>
  <c r="K73" i="3" s="1"/>
  <c r="K75" i="3" s="1"/>
  <c r="J68" i="3"/>
  <c r="J69" i="3" s="1"/>
  <c r="J71" i="3" s="1"/>
  <c r="J73" i="3" s="1"/>
  <c r="I68" i="3"/>
  <c r="I69" i="3" s="1"/>
  <c r="I71" i="3" s="1"/>
  <c r="I73" i="3" s="1"/>
  <c r="H68" i="3"/>
  <c r="H69" i="3" s="1"/>
  <c r="H71" i="3" s="1"/>
  <c r="G68" i="3"/>
  <c r="G69" i="3" s="1"/>
  <c r="G71" i="3" s="1"/>
  <c r="G73" i="3" s="1"/>
  <c r="G75" i="3" s="1"/>
  <c r="G84" i="3" s="1"/>
  <c r="F68" i="3"/>
  <c r="F69" i="3" s="1"/>
  <c r="F71" i="3" s="1"/>
  <c r="F73" i="3" s="1"/>
  <c r="F75" i="3" s="1"/>
  <c r="F84" i="3" s="1"/>
  <c r="E68" i="3"/>
  <c r="E69" i="3" s="1"/>
  <c r="E71" i="3" s="1"/>
  <c r="D68" i="3"/>
  <c r="D69" i="3" s="1"/>
  <c r="D71" i="3" s="1"/>
  <c r="D73" i="3" s="1"/>
  <c r="C68" i="3"/>
  <c r="C69" i="3" s="1"/>
  <c r="C71" i="3" s="1"/>
  <c r="C16" i="10"/>
  <c r="C15" i="10"/>
  <c r="C11" i="10"/>
  <c r="C12" i="10" s="1"/>
  <c r="C9" i="10"/>
  <c r="C10" i="10" s="1"/>
  <c r="C8" i="10"/>
  <c r="C93" i="8"/>
  <c r="C89" i="8"/>
  <c r="C87" i="8"/>
  <c r="D73" i="8"/>
  <c r="D69" i="8"/>
  <c r="D64" i="8"/>
  <c r="C40" i="8"/>
  <c r="C42" i="8" s="1"/>
  <c r="D38" i="8"/>
  <c r="D76" i="8"/>
  <c r="D77" i="8" s="1"/>
  <c r="H26" i="6"/>
  <c r="H16" i="6"/>
  <c r="D14" i="6"/>
  <c r="D12" i="6"/>
  <c r="H10" i="6"/>
  <c r="D6" i="6"/>
  <c r="H9" i="6" s="1"/>
  <c r="C16" i="4"/>
  <c r="C13" i="4" a="1"/>
  <c r="C13" i="4" s="1"/>
  <c r="C12" i="4"/>
  <c r="C6" i="4"/>
  <c r="C24" i="1"/>
  <c r="C6" i="1"/>
  <c r="AM140" i="3" l="1"/>
  <c r="AM142" i="3"/>
  <c r="C17" i="1"/>
  <c r="D6" i="1"/>
  <c r="D17" i="1" s="1"/>
  <c r="C36" i="1"/>
  <c r="D24" i="1"/>
  <c r="D36" i="1" s="1"/>
  <c r="K80" i="3"/>
  <c r="L80" i="3" s="1"/>
  <c r="M80" i="3" s="1"/>
  <c r="H20" i="6"/>
  <c r="D5" i="6"/>
  <c r="D4" i="6" s="1"/>
  <c r="L82" i="3"/>
  <c r="M77" i="3"/>
  <c r="M82" i="3" s="1"/>
  <c r="M84" i="3" s="1"/>
  <c r="H73" i="3"/>
  <c r="H75" i="3" s="1"/>
  <c r="H84" i="3" s="1"/>
  <c r="C73" i="3"/>
  <c r="C75" i="3"/>
  <c r="H19" i="6"/>
  <c r="D75" i="3"/>
  <c r="D84" i="3" s="1"/>
  <c r="D40" i="8"/>
  <c r="D42" i="8" s="1"/>
  <c r="M75" i="3"/>
  <c r="E73" i="3"/>
  <c r="E75" i="3" s="1"/>
  <c r="E84" i="3" s="1"/>
  <c r="L75" i="3"/>
  <c r="J75" i="3"/>
  <c r="J84" i="3" s="1"/>
  <c r="I75" i="3"/>
  <c r="I84" i="3" s="1"/>
  <c r="C82" i="3"/>
  <c r="K82" i="3"/>
  <c r="K84" i="3" s="1"/>
  <c r="E152" i="3" l="1"/>
  <c r="E148" i="3"/>
  <c r="AM144" i="3"/>
  <c r="L84" i="3"/>
  <c r="D50" i="8"/>
  <c r="F50" i="8" s="1"/>
  <c r="F48" i="8"/>
  <c r="C84" i="3"/>
  <c r="AM148" i="3" l="1"/>
  <c r="AM150" i="3"/>
  <c r="AM15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9" authorId="0" shapeId="0" xr:uid="{00000000-0006-0000-0500-000001000000}">
      <text>
        <r>
          <rPr>
            <sz val="11"/>
            <color rgb="FF000000"/>
            <rFont val="Calibri"/>
            <family val="2"/>
          </rPr>
          <t xml:space="preserve">======
</t>
        </r>
        <r>
          <rPr>
            <sz val="11"/>
            <color rgb="FF000000"/>
            <rFont val="Calibri"/>
            <family val="2"/>
          </rPr>
          <t xml:space="preserve">ID#AAABYbY4bW8
</t>
        </r>
        <r>
          <rPr>
            <sz val="11"/>
            <color rgb="FF000000"/>
            <rFont val="Calibri"/>
            <family val="2"/>
          </rPr>
          <t xml:space="preserve">tc={74169B49-4342-44E9-9FE4-D69A4EF6BDE8}    (2024-11-13 13:43:31)
</t>
        </r>
        <r>
          <rPr>
            <sz val="11"/>
            <color rgb="FF000000"/>
            <rFont val="Calibri"/>
            <family val="2"/>
          </rPr>
          <t xml:space="preserve">[Comentario encadenado]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Su versión de Excel le permite leer este comentario encadenado; sin embargo, las ediciones que se apliquen se quitarán si el archivo se abre en una versión más reciente de Excel. Más información: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Comentario:
</t>
        </r>
        <r>
          <rPr>
            <sz val="11"/>
            <color rgb="FF000000"/>
            <rFont val="Calibri"/>
            <family val="2"/>
          </rPr>
          <t xml:space="preserve">    Pago adelantado IZI</t>
        </r>
      </text>
    </comment>
    <comment ref="D10" authorId="0" shapeId="0" xr:uid="{00000000-0006-0000-0500-000006000000}">
      <text>
        <r>
          <rPr>
            <sz val="11"/>
            <color theme="1"/>
            <rFont val="Calibri"/>
            <family val="2"/>
            <scheme val="minor"/>
          </rPr>
          <t>======
ID#AAABYbY4bWk
HP    (2024-11-13 13:43:31)
Credito fiscal</t>
        </r>
      </text>
    </comment>
    <comment ref="D11" authorId="0" shapeId="0" xr:uid="{00000000-0006-0000-0500-000004000000}">
      <text>
        <r>
          <rPr>
            <sz val="11"/>
            <color theme="1"/>
            <rFont val="Calibri"/>
            <family val="2"/>
            <scheme val="minor"/>
          </rPr>
          <t>======
ID#AAABYbY4bW0
HP    (2024-11-13 13:43:31)
Garantia alquiler</t>
        </r>
      </text>
    </comment>
    <comment ref="H13" authorId="0" shapeId="0" xr:uid="{00000000-0006-0000-0500-000003000000}">
      <text>
        <r>
          <rPr>
            <sz val="11"/>
            <color theme="1"/>
            <rFont val="Calibri"/>
            <family val="2"/>
            <scheme val="minor"/>
          </rPr>
          <t>======
ID#AAABYbY4bWw
tc={74169B49-4342-44E9-9FE4-D69A4EF6BDE8}    (2024-11-13 13:43:31)
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Pago adelantado IZI</t>
        </r>
      </text>
    </comment>
    <comment ref="H14" authorId="0" shapeId="0" xr:uid="{00000000-0006-0000-0500-000005000000}">
      <text>
        <r>
          <rPr>
            <sz val="11"/>
            <color rgb="FF000000"/>
            <rFont val="Calibri"/>
            <family val="2"/>
          </rPr>
          <t xml:space="preserve">======
</t>
        </r>
        <r>
          <rPr>
            <sz val="11"/>
            <color rgb="FF000000"/>
            <rFont val="Calibri"/>
            <family val="2"/>
          </rPr>
          <t xml:space="preserve">ID#AAABYbY4bWs
</t>
        </r>
        <r>
          <rPr>
            <sz val="11"/>
            <color rgb="FF000000"/>
            <rFont val="Calibri"/>
            <family val="2"/>
          </rPr>
          <t xml:space="preserve">HP    (2024-11-13 13:43:31)
</t>
        </r>
        <r>
          <rPr>
            <sz val="11"/>
            <color rgb="FF000000"/>
            <rFont val="Calibri"/>
            <family val="2"/>
          </rPr>
          <t>Credito fiscal</t>
        </r>
      </text>
    </comment>
    <comment ref="H15" authorId="0" shapeId="0" xr:uid="{00000000-0006-0000-0500-000002000000}">
      <text>
        <r>
          <rPr>
            <sz val="11"/>
            <color rgb="FF000000"/>
            <rFont val="Calibri"/>
            <family val="2"/>
          </rPr>
          <t xml:space="preserve">======
</t>
        </r>
        <r>
          <rPr>
            <sz val="11"/>
            <color rgb="FF000000"/>
            <rFont val="Calibri"/>
            <family val="2"/>
          </rPr>
          <t xml:space="preserve">ID#AAABYbY4bW4
</t>
        </r>
        <r>
          <rPr>
            <sz val="11"/>
            <color rgb="FF000000"/>
            <rFont val="Calibri"/>
            <family val="2"/>
          </rPr>
          <t xml:space="preserve">HP    (2024-11-13 13:43:31)
</t>
        </r>
        <r>
          <rPr>
            <sz val="11"/>
            <color rgb="FF000000"/>
            <rFont val="Calibri"/>
            <family val="2"/>
          </rPr>
          <t>Garantia alquiler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zXLc5rTD0JDPKQmgpf6IAfu0nxQ=="/>
    </ext>
  </extL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<sst xmlns="http://schemas.openxmlformats.org/spreadsheetml/2006/main" count="965" uniqueCount="584">
  <si>
    <t>PRESUPUESTO INICIAL</t>
  </si>
  <si>
    <t>Concepto</t>
  </si>
  <si>
    <t>Descripción</t>
  </si>
  <si>
    <t>Monto Real</t>
  </si>
  <si>
    <t>Registro de la empresa</t>
  </si>
  <si>
    <t>Licencias y permisos</t>
  </si>
  <si>
    <t>Materias primas y suministros</t>
  </si>
  <si>
    <t>Marketing y publicidad</t>
  </si>
  <si>
    <t>Creación de marca y desarrollo de producto</t>
  </si>
  <si>
    <t>Contenido y publicidad</t>
  </si>
  <si>
    <t>Folletos, Banners, etc</t>
  </si>
  <si>
    <t>Honorarios legales y contables</t>
  </si>
  <si>
    <t>Contabilidad</t>
  </si>
  <si>
    <t>Investigación y desarrollo</t>
  </si>
  <si>
    <t>Desarrollo modelo de negocio</t>
  </si>
  <si>
    <t>Prototipos y pruebas de producto</t>
  </si>
  <si>
    <t>Costos de prueba</t>
  </si>
  <si>
    <t>Prototipos</t>
  </si>
  <si>
    <t>Total</t>
  </si>
  <si>
    <t>Alquiler</t>
  </si>
  <si>
    <t>Tienda VIANUT</t>
  </si>
  <si>
    <t>Salarios</t>
  </si>
  <si>
    <t>Servicios públicos</t>
  </si>
  <si>
    <t>Agua</t>
  </si>
  <si>
    <t>Electricidad</t>
  </si>
  <si>
    <t>Internet</t>
  </si>
  <si>
    <t>Telefono</t>
  </si>
  <si>
    <t>Otras expensas</t>
  </si>
  <si>
    <t>Servicios pos</t>
  </si>
  <si>
    <t>Costos de producción</t>
  </si>
  <si>
    <t>Publicidad y marketing</t>
  </si>
  <si>
    <t>Redes sociales</t>
  </si>
  <si>
    <t>Software y mantenimiento de TI</t>
  </si>
  <si>
    <t>IT</t>
  </si>
  <si>
    <t>Inventario</t>
  </si>
  <si>
    <t>Suma de Venta Total</t>
  </si>
  <si>
    <t>Etiquetas de columna</t>
  </si>
  <si>
    <t>Feb</t>
  </si>
  <si>
    <t>Mar</t>
  </si>
  <si>
    <t>Apr</t>
  </si>
  <si>
    <t>May</t>
  </si>
  <si>
    <t>Jun</t>
  </si>
  <si>
    <t>Jul</t>
  </si>
  <si>
    <t>Aug</t>
  </si>
  <si>
    <t>Sep</t>
  </si>
  <si>
    <t>Total general</t>
  </si>
  <si>
    <t>Etiquetas de fila</t>
  </si>
  <si>
    <t>PROMEDIO MENSUAL</t>
  </si>
  <si>
    <t>PROYECCION ANNUAL</t>
  </si>
  <si>
    <t>Cochabamba</t>
  </si>
  <si>
    <t>17549,39</t>
  </si>
  <si>
    <t>15078,01</t>
  </si>
  <si>
    <t>17174,1</t>
  </si>
  <si>
    <t>10950,21</t>
  </si>
  <si>
    <t>86696,71</t>
  </si>
  <si>
    <t>173393,42</t>
  </si>
  <si>
    <t>Delivery a domicilio</t>
  </si>
  <si>
    <t>15,63</t>
  </si>
  <si>
    <t>41,49</t>
  </si>
  <si>
    <t>106,12</t>
  </si>
  <si>
    <t>Myprotein - Accesorios Large_Shaker - 0,1 KG</t>
  </si>
  <si>
    <t>56,25</t>
  </si>
  <si>
    <t>169,41</t>
  </si>
  <si>
    <t>204,88</t>
  </si>
  <si>
    <t>211,94</t>
  </si>
  <si>
    <t>180,02</t>
  </si>
  <si>
    <t>882,5</t>
  </si>
  <si>
    <t>Myprotein - Alimentos Barra_Oat&amp;Whey - 0,088 KG</t>
  </si>
  <si>
    <t>475,45</t>
  </si>
  <si>
    <t>269,99</t>
  </si>
  <si>
    <t>470,06</t>
  </si>
  <si>
    <t>1775,5</t>
  </si>
  <si>
    <t>Myprotein - Alimentos Mantequilla_mani - 1 KG</t>
  </si>
  <si>
    <t>0,1</t>
  </si>
  <si>
    <t>Myprotein - Aminoacidos BCAA_2:1:1 - 0,25 KG</t>
  </si>
  <si>
    <t>503,75</t>
  </si>
  <si>
    <t>Myprotein - Aminoacidos Creatine_Monohydrate - 0,25 KG</t>
  </si>
  <si>
    <t>4415,27</t>
  </si>
  <si>
    <t>4435,6</t>
  </si>
  <si>
    <t>4016,73</t>
  </si>
  <si>
    <t>3898,55</t>
  </si>
  <si>
    <t>2388,68</t>
  </si>
  <si>
    <t>1673,62</t>
  </si>
  <si>
    <t>20828,45</t>
  </si>
  <si>
    <t>Myprotein - Aminoacidos Creatine_Monohydrate - 0,5 KG</t>
  </si>
  <si>
    <t>1838,87</t>
  </si>
  <si>
    <t>2538,31</t>
  </si>
  <si>
    <t>3566,72</t>
  </si>
  <si>
    <t>2433,72</t>
  </si>
  <si>
    <t>11117,62</t>
  </si>
  <si>
    <t>Myprotein - Energizantes Preworkout - 0,42 KG</t>
  </si>
  <si>
    <t>322,93</t>
  </si>
  <si>
    <t>492,93</t>
  </si>
  <si>
    <t>Myprotein - Proteina Bife_Hidrolizada - 2,5 KG</t>
  </si>
  <si>
    <t>660,63</t>
  </si>
  <si>
    <t>Myprotein - Proteina Clear_Isolate - 0,5 KG</t>
  </si>
  <si>
    <t>230,59</t>
  </si>
  <si>
    <t>815,56</t>
  </si>
  <si>
    <t>1493,45</t>
  </si>
  <si>
    <t>2539,6</t>
  </si>
  <si>
    <t>Myprotein - Proteina Ganador_Extreme_Blend - 2,5 KG</t>
  </si>
  <si>
    <t>Myprotein - Proteina Impact_Whey - 1 KG</t>
  </si>
  <si>
    <t>2974,1</t>
  </si>
  <si>
    <t>2729,4</t>
  </si>
  <si>
    <t>2710,35</t>
  </si>
  <si>
    <t>2140,55</t>
  </si>
  <si>
    <t>2423,28</t>
  </si>
  <si>
    <t>1579,34</t>
  </si>
  <si>
    <t>14557,02</t>
  </si>
  <si>
    <t>Myprotein - Proteina Impact_Whey - 2,5 KG</t>
  </si>
  <si>
    <t>2649,12</t>
  </si>
  <si>
    <t>3995,12</t>
  </si>
  <si>
    <t>2773,83</t>
  </si>
  <si>
    <t>14168,07</t>
  </si>
  <si>
    <t>Myprotein - Proteina Whey_Isolate - 1 KG</t>
  </si>
  <si>
    <t>1419,21</t>
  </si>
  <si>
    <t>1799,11</t>
  </si>
  <si>
    <t>6518,32</t>
  </si>
  <si>
    <t>Myprotein - Proteina Whey_Isolate - 2,5 KG</t>
  </si>
  <si>
    <t>2966,2</t>
  </si>
  <si>
    <t>8541,2</t>
  </si>
  <si>
    <t>Myvegan - Proteina Vegan_Blend - 1 KG</t>
  </si>
  <si>
    <t>294,9</t>
  </si>
  <si>
    <t>1584,9</t>
  </si>
  <si>
    <t>Myvegan - Proteina Vegan_Blend - 2,5 KG</t>
  </si>
  <si>
    <t>La Paz</t>
  </si>
  <si>
    <t>72809,4</t>
  </si>
  <si>
    <t>60151,8</t>
  </si>
  <si>
    <t>60345,47</t>
  </si>
  <si>
    <t>70050,51</t>
  </si>
  <si>
    <t>54001,03</t>
  </si>
  <si>
    <t>68805,87</t>
  </si>
  <si>
    <t>48550,06</t>
  </si>
  <si>
    <t>53910,54</t>
  </si>
  <si>
    <t>488624,68</t>
  </si>
  <si>
    <t>977249,36</t>
  </si>
  <si>
    <t>454,3</t>
  </si>
  <si>
    <t>115,9</t>
  </si>
  <si>
    <t>415,27</t>
  </si>
  <si>
    <t>270,91</t>
  </si>
  <si>
    <t>377,01</t>
  </si>
  <si>
    <t>675,05</t>
  </si>
  <si>
    <t>210,01</t>
  </si>
  <si>
    <t>300,04</t>
  </si>
  <si>
    <t>2818,49</t>
  </si>
  <si>
    <t>Myprotein - Accesorios Small_Shaker - 0,1 KG</t>
  </si>
  <si>
    <t>2265,6</t>
  </si>
  <si>
    <t>2104,8</t>
  </si>
  <si>
    <t>396,8</t>
  </si>
  <si>
    <t>1340,01</t>
  </si>
  <si>
    <t>2093,8</t>
  </si>
  <si>
    <t>12251,01</t>
  </si>
  <si>
    <t>787,6</t>
  </si>
  <si>
    <t>0,01</t>
  </si>
  <si>
    <t>70,01</t>
  </si>
  <si>
    <t>100,01</t>
  </si>
  <si>
    <t>1832,63</t>
  </si>
  <si>
    <t>709,8</t>
  </si>
  <si>
    <t>239,2</t>
  </si>
  <si>
    <t>673,4</t>
  </si>
  <si>
    <t>499,2</t>
  </si>
  <si>
    <t>5001,6</t>
  </si>
  <si>
    <t>15668,9</t>
  </si>
  <si>
    <t>14260,1</t>
  </si>
  <si>
    <t>14805,6</t>
  </si>
  <si>
    <t>10640,01</t>
  </si>
  <si>
    <t>10980,01</t>
  </si>
  <si>
    <t>6080,01</t>
  </si>
  <si>
    <t>4749,4</t>
  </si>
  <si>
    <t>90360,03</t>
  </si>
  <si>
    <t>6162,4</t>
  </si>
  <si>
    <t>6164,7</t>
  </si>
  <si>
    <t>2571,5</t>
  </si>
  <si>
    <t>6497,2</t>
  </si>
  <si>
    <t>9930,8</t>
  </si>
  <si>
    <t>41686,6</t>
  </si>
  <si>
    <t>Myprotein - Aminoacidos Glutamine - 0,25 KG</t>
  </si>
  <si>
    <t>295,8</t>
  </si>
  <si>
    <t>291,2</t>
  </si>
  <si>
    <t>3070,1</t>
  </si>
  <si>
    <t>1090,65</t>
  </si>
  <si>
    <t>8343,75</t>
  </si>
  <si>
    <t>1246,2</t>
  </si>
  <si>
    <t>1868,9</t>
  </si>
  <si>
    <t>6727,1</t>
  </si>
  <si>
    <t>459,2</t>
  </si>
  <si>
    <t>2090,05</t>
  </si>
  <si>
    <t>7849,25</t>
  </si>
  <si>
    <t>1627,5</t>
  </si>
  <si>
    <t>8102,5</t>
  </si>
  <si>
    <t>11964,6</t>
  </si>
  <si>
    <t>12916,8</t>
  </si>
  <si>
    <t>6894,4</t>
  </si>
  <si>
    <t>7561,6</t>
  </si>
  <si>
    <t>4621,8</t>
  </si>
  <si>
    <t>59119,2</t>
  </si>
  <si>
    <t>11389,5</t>
  </si>
  <si>
    <t>20849,4</t>
  </si>
  <si>
    <t>14775,5</t>
  </si>
  <si>
    <t>12351,6</t>
  </si>
  <si>
    <t>2767,5</t>
  </si>
  <si>
    <t>6026,4</t>
  </si>
  <si>
    <t>4351,2</t>
  </si>
  <si>
    <t>5823,6</t>
  </si>
  <si>
    <t>2541,6</t>
  </si>
  <si>
    <t>32813,3</t>
  </si>
  <si>
    <t>3241,2</t>
  </si>
  <si>
    <t>2194,5</t>
  </si>
  <si>
    <t>9293,4</t>
  </si>
  <si>
    <t>4797,1</t>
  </si>
  <si>
    <t>10782,6</t>
  </si>
  <si>
    <t>4010,02</t>
  </si>
  <si>
    <t>6347,6</t>
  </si>
  <si>
    <t>47356,42</t>
  </si>
  <si>
    <t>2653,8</t>
  </si>
  <si>
    <t>2149,6</t>
  </si>
  <si>
    <t>20003,4</t>
  </si>
  <si>
    <t>2854,4</t>
  </si>
  <si>
    <t>19552,4</t>
  </si>
  <si>
    <t>Santa Cruz</t>
  </si>
  <si>
    <t>49069,31</t>
  </si>
  <si>
    <t>36297,49</t>
  </si>
  <si>
    <t>40717,67</t>
  </si>
  <si>
    <t>48851,42</t>
  </si>
  <si>
    <t>36270,12</t>
  </si>
  <si>
    <t>40439,34</t>
  </si>
  <si>
    <t>49066,4</t>
  </si>
  <si>
    <t>33251,5</t>
  </si>
  <si>
    <t>333963,25</t>
  </si>
  <si>
    <t>667926,5</t>
  </si>
  <si>
    <t>432,76</t>
  </si>
  <si>
    <t>180,4</t>
  </si>
  <si>
    <t>700,91</t>
  </si>
  <si>
    <t>60,01</t>
  </si>
  <si>
    <t>164,5</t>
  </si>
  <si>
    <t>387,1</t>
  </si>
  <si>
    <t>2635,68</t>
  </si>
  <si>
    <t>50,37</t>
  </si>
  <si>
    <t>450,53</t>
  </si>
  <si>
    <t>136,42</t>
  </si>
  <si>
    <t>90,01</t>
  </si>
  <si>
    <t>1161,33</t>
  </si>
  <si>
    <t>367,2</t>
  </si>
  <si>
    <t>1736,01</t>
  </si>
  <si>
    <t>478,8</t>
  </si>
  <si>
    <t>640,2</t>
  </si>
  <si>
    <t>346,71</t>
  </si>
  <si>
    <t>5288,92</t>
  </si>
  <si>
    <t>488,64</t>
  </si>
  <si>
    <t>141,4</t>
  </si>
  <si>
    <t>720,04</t>
  </si>
  <si>
    <t>9082,55</t>
  </si>
  <si>
    <t>13294,44</t>
  </si>
  <si>
    <t>8290,5</t>
  </si>
  <si>
    <t>6234,3</t>
  </si>
  <si>
    <t>9475,31</t>
  </si>
  <si>
    <t>6463,86</t>
  </si>
  <si>
    <t>67278,96</t>
  </si>
  <si>
    <t>7261,94</t>
  </si>
  <si>
    <t>3554,12</t>
  </si>
  <si>
    <t>11052,4</t>
  </si>
  <si>
    <t>5392,51</t>
  </si>
  <si>
    <t>35030,97</t>
  </si>
  <si>
    <t>758,04</t>
  </si>
  <si>
    <t>2003,1</t>
  </si>
  <si>
    <t>5951,14</t>
  </si>
  <si>
    <t>803,2</t>
  </si>
  <si>
    <t>220,1</t>
  </si>
  <si>
    <t>4750,83</t>
  </si>
  <si>
    <t>11477,13</t>
  </si>
  <si>
    <t>1896,99</t>
  </si>
  <si>
    <t>5371,99</t>
  </si>
  <si>
    <t>9406,85</t>
  </si>
  <si>
    <t>6054,82</t>
  </si>
  <si>
    <t>6761,6</t>
  </si>
  <si>
    <t>4775,01</t>
  </si>
  <si>
    <t>7043,2</t>
  </si>
  <si>
    <t>48787,48</t>
  </si>
  <si>
    <t>11024,72</t>
  </si>
  <si>
    <t>3130,21</t>
  </si>
  <si>
    <t>4529,2</t>
  </si>
  <si>
    <t>12636,21</t>
  </si>
  <si>
    <t>8689,9</t>
  </si>
  <si>
    <t>8686,82</t>
  </si>
  <si>
    <t>57346,06</t>
  </si>
  <si>
    <t>2324,16</t>
  </si>
  <si>
    <t>714,1</t>
  </si>
  <si>
    <t>3999,7</t>
  </si>
  <si>
    <t>2230,92</t>
  </si>
  <si>
    <t>21438,88</t>
  </si>
  <si>
    <t>5692,72</t>
  </si>
  <si>
    <t>6058,81</t>
  </si>
  <si>
    <t>5268,81</t>
  </si>
  <si>
    <t>4835,6</t>
  </si>
  <si>
    <t>6763,5</t>
  </si>
  <si>
    <t>37539,44</t>
  </si>
  <si>
    <t>1884,8</t>
  </si>
  <si>
    <t>3606,43</t>
  </si>
  <si>
    <t>16136,23</t>
  </si>
  <si>
    <t>Total general ventas brutas</t>
  </si>
  <si>
    <t>121878,71</t>
  </si>
  <si>
    <t>96449,29</t>
  </si>
  <si>
    <t>114233,14</t>
  </si>
  <si>
    <t>131676,93</t>
  </si>
  <si>
    <t>107820,54</t>
  </si>
  <si>
    <t>124323,22</t>
  </si>
  <si>
    <t>114790,56</t>
  </si>
  <si>
    <t>98112,25</t>
  </si>
  <si>
    <t>909284,64</t>
  </si>
  <si>
    <t>151547,44</t>
  </si>
  <si>
    <t>1818569,28</t>
  </si>
  <si>
    <t xml:space="preserve">Impuestos para 40 % de ventas </t>
  </si>
  <si>
    <t>Análisis por canal de venta</t>
  </si>
  <si>
    <t>Porcentaje de contribución de cada canal</t>
  </si>
  <si>
    <t>Metas y objetivos de crecimiento</t>
  </si>
  <si>
    <t>Ventas incrementales esperadas</t>
  </si>
  <si>
    <t>(=ventas de periodo anterior * (1+Meta de crecimiento))</t>
  </si>
  <si>
    <t>Análisis comparativo de variaciones</t>
  </si>
  <si>
    <t>Proyección vs Realidad</t>
  </si>
  <si>
    <t>Porcentaje de variación</t>
  </si>
  <si>
    <t>Indices y ratios</t>
  </si>
  <si>
    <t>Indice de conversión de ventas</t>
  </si>
  <si>
    <t>Ticket promedio</t>
  </si>
  <si>
    <t>ventas totales/numero de ventas</t>
  </si>
  <si>
    <t>VENTAS</t>
  </si>
  <si>
    <t>Ventas directas a Consumidores (B2C)</t>
  </si>
  <si>
    <t>Fecha</t>
  </si>
  <si>
    <t>SKU</t>
  </si>
  <si>
    <t>Producto</t>
  </si>
  <si>
    <t>Categoría</t>
  </si>
  <si>
    <t>Cantidad</t>
  </si>
  <si>
    <t>Precio Unitario</t>
  </si>
  <si>
    <t>Venta Total</t>
  </si>
  <si>
    <t>Ciudad</t>
  </si>
  <si>
    <t>Proteina whey</t>
  </si>
  <si>
    <t>Proteína</t>
  </si>
  <si>
    <t>Ventas mensuales</t>
  </si>
  <si>
    <t>Proteina isolate</t>
  </si>
  <si>
    <t>Ventas facturadas</t>
  </si>
  <si>
    <t>Creatina</t>
  </si>
  <si>
    <t>Crema de arroz</t>
  </si>
  <si>
    <t>Ventas al por mayor a agencias y distribuidores (B2B)</t>
  </si>
  <si>
    <t>BG</t>
  </si>
  <si>
    <t>inicio octubre</t>
  </si>
  <si>
    <t>VIANUT</t>
  </si>
  <si>
    <t>Activos</t>
  </si>
  <si>
    <t>BALANCE GENERAL</t>
  </si>
  <si>
    <t>Activo corriente</t>
  </si>
  <si>
    <t>AL 1 DE OCTUBRE DEL 2024</t>
  </si>
  <si>
    <t>Disponible</t>
  </si>
  <si>
    <t>(Expresado en Bolivianos)</t>
  </si>
  <si>
    <t>caja chica</t>
  </si>
  <si>
    <t>banco ganader</t>
  </si>
  <si>
    <t>ACTIVOS</t>
  </si>
  <si>
    <t>Exigible</t>
  </si>
  <si>
    <t>ACTIVO CORRIENTE</t>
  </si>
  <si>
    <t>Caja chica</t>
  </si>
  <si>
    <t>inventario</t>
  </si>
  <si>
    <t>Banco Ganadero</t>
  </si>
  <si>
    <t>moviliario</t>
  </si>
  <si>
    <t>pasivos</t>
  </si>
  <si>
    <t>corto plazo</t>
  </si>
  <si>
    <t>largo plazo</t>
  </si>
  <si>
    <t>patrimonio</t>
  </si>
  <si>
    <t>ACTIVO NO CORRIENTE</t>
  </si>
  <si>
    <t>Moviliario</t>
  </si>
  <si>
    <t>TOTAL ACTIVO CORRIENTE</t>
  </si>
  <si>
    <t>costo de deuda es 0</t>
  </si>
  <si>
    <t xml:space="preserve">TOTAL ACTIVO </t>
  </si>
  <si>
    <t>PASIVO</t>
  </si>
  <si>
    <t>CUENTAS POR PAGAR</t>
  </si>
  <si>
    <t>Corto Plazo</t>
  </si>
  <si>
    <t>Largo Plazo</t>
  </si>
  <si>
    <t>TOTAL PASIVO</t>
  </si>
  <si>
    <t>PATRIMONIO</t>
  </si>
  <si>
    <t>Categoria</t>
  </si>
  <si>
    <t>Costo de importación</t>
  </si>
  <si>
    <t xml:space="preserve">COSTOS Y GASTOS </t>
  </si>
  <si>
    <t>Costo USD</t>
  </si>
  <si>
    <t>Costo Bolivianos</t>
  </si>
  <si>
    <t>Anual</t>
  </si>
  <si>
    <t>Costos Variables</t>
  </si>
  <si>
    <t>IVA (Sujeto a facturación del mes)</t>
  </si>
  <si>
    <t>IT (Sujeto a facturación del mes)</t>
  </si>
  <si>
    <t>Costos de empaque y de envio</t>
  </si>
  <si>
    <t>Costos de venta y comisiones</t>
  </si>
  <si>
    <t xml:space="preserve">Mano de obra </t>
  </si>
  <si>
    <t>Almacenamiento de inventario</t>
  </si>
  <si>
    <t>Costo producto</t>
  </si>
  <si>
    <t>Comisiones Giro</t>
  </si>
  <si>
    <t>Costo EXW</t>
  </si>
  <si>
    <t>Flete y seguro</t>
  </si>
  <si>
    <t>Costo CIF</t>
  </si>
  <si>
    <t>Permiso de importación</t>
  </si>
  <si>
    <t>G.A. y form .digital</t>
  </si>
  <si>
    <t>Gast Desp Aduanas (1%) CIF</t>
  </si>
  <si>
    <t>Comisiones Senasag</t>
  </si>
  <si>
    <t>Gastos trámites/varios</t>
  </si>
  <si>
    <t>IVA (credito fiscal a favor)</t>
  </si>
  <si>
    <t>DAB (0.3%) CIF</t>
  </si>
  <si>
    <t>Transporte Aduana a Almacén</t>
  </si>
  <si>
    <t xml:space="preserve">Total a pagaren importación </t>
  </si>
  <si>
    <t>Gastos Administrativos</t>
  </si>
  <si>
    <t>Contratos</t>
  </si>
  <si>
    <t>Costos de financiamiento</t>
  </si>
  <si>
    <t>Prestamo</t>
  </si>
  <si>
    <t>Marketing y Publicidad</t>
  </si>
  <si>
    <t>Material promocional</t>
  </si>
  <si>
    <t>Eventos y ferias</t>
  </si>
  <si>
    <t>Impuestos y cumplimieto</t>
  </si>
  <si>
    <t xml:space="preserve">IVA </t>
  </si>
  <si>
    <t>Capacitación y desarrollo</t>
  </si>
  <si>
    <t>Capacitacion continua</t>
  </si>
  <si>
    <t>Reserva de emergencia</t>
  </si>
  <si>
    <t>Fondo de emergencia ( 3 meses)</t>
  </si>
  <si>
    <t>TOTAL GLOBAL</t>
  </si>
  <si>
    <t>KPI</t>
  </si>
  <si>
    <t>FORMULA</t>
  </si>
  <si>
    <t>RESULTADO</t>
  </si>
  <si>
    <t>Porcentaje de Costos fijos sobre el total de costos</t>
  </si>
  <si>
    <t>Porcentaje de costos variables</t>
  </si>
  <si>
    <t>Margen de contribución</t>
  </si>
  <si>
    <t>Indice de publicidad y marketing</t>
  </si>
  <si>
    <t>Indice de eficiencia en costos totales</t>
  </si>
  <si>
    <t>Creapure</t>
  </si>
  <si>
    <t>Costo total</t>
  </si>
  <si>
    <t>Monto</t>
  </si>
  <si>
    <t>MARGENES - MEDIR LA RENTABILIDAD</t>
  </si>
  <si>
    <t>Interpretación</t>
  </si>
  <si>
    <t>Precio de venta</t>
  </si>
  <si>
    <t>Precio unitario</t>
  </si>
  <si>
    <t>Costo variable</t>
  </si>
  <si>
    <t>Costos directos por unidad</t>
  </si>
  <si>
    <t>Materias primas, mano de obra directa, etc</t>
  </si>
  <si>
    <t>Costo fijo</t>
  </si>
  <si>
    <t>Costos indirectos</t>
  </si>
  <si>
    <t>Costos fijos asignados por unidad</t>
  </si>
  <si>
    <t>Costo variable + Costo fijo</t>
  </si>
  <si>
    <t>Costo total de producir una unidad</t>
  </si>
  <si>
    <t>Margen bruto</t>
  </si>
  <si>
    <t>Ganancia antes de costos fijos</t>
  </si>
  <si>
    <t>Beneficio directo cobre los costos variables</t>
  </si>
  <si>
    <t>% Margen bruto</t>
  </si>
  <si>
    <t>MB como % se precio de venta</t>
  </si>
  <si>
    <t>Indica que % del precio de venta es ganancia luego de cubrir costos variables</t>
  </si>
  <si>
    <t>Margen Operativo</t>
  </si>
  <si>
    <t>Ganancia depués de costos fijos</t>
  </si>
  <si>
    <t>Beneficio operativo luego de cubrir costos de producción</t>
  </si>
  <si>
    <t>%Margen operativo</t>
  </si>
  <si>
    <t>MO como % del precio de venta</t>
  </si>
  <si>
    <t>Indica que % del precio de venta es ganancia luego de cubrir costos de producción</t>
  </si>
  <si>
    <t>Margen neto</t>
  </si>
  <si>
    <t>Ganancia después de los gastos</t>
  </si>
  <si>
    <t>Beneficio dfinal desoues de cubrir todos los costos</t>
  </si>
  <si>
    <t>% Margen neto</t>
  </si>
  <si>
    <t>MN como % del precio de venta</t>
  </si>
  <si>
    <t>Indica que % del precio de venta es ganancia después de todos los gastos</t>
  </si>
  <si>
    <t>Punto de equilibrio</t>
  </si>
  <si>
    <t>Volumen necesario para cubrir costos</t>
  </si>
  <si>
    <t>Número de unidades que necesitas vender para cubrir los costos fijos y variables</t>
  </si>
  <si>
    <t>Mark-Up</t>
  </si>
  <si>
    <t>Aumento sobre el costo variable</t>
  </si>
  <si>
    <t>Indica que % de aumento aplicado al costo variable para determinar precio de venta</t>
  </si>
  <si>
    <t>INVENTARIO</t>
  </si>
  <si>
    <t>Codigo</t>
  </si>
  <si>
    <t>Cantidad Inicial</t>
  </si>
  <si>
    <t>Cantidad Comprada</t>
  </si>
  <si>
    <t>Cantidad Vendida</t>
  </si>
  <si>
    <t>Cantidad Final</t>
  </si>
  <si>
    <t>CUENTAS POR COBRAR</t>
  </si>
  <si>
    <t>Cliente</t>
  </si>
  <si>
    <t>Fecha de Vencimiento</t>
  </si>
  <si>
    <t>Monto Pagado</t>
  </si>
  <si>
    <t>Saldo Pendiente</t>
  </si>
  <si>
    <t>Proveedor</t>
  </si>
  <si>
    <t>FLUJO DE CAJA</t>
  </si>
  <si>
    <t>Mes</t>
  </si>
  <si>
    <t>Ingresos</t>
  </si>
  <si>
    <t>Egresos</t>
  </si>
  <si>
    <t>Flujo Neto</t>
  </si>
  <si>
    <t>Ventas Netas</t>
  </si>
  <si>
    <t>Ventas con factura 40%</t>
  </si>
  <si>
    <t>Costo de produccion (aprox50%)</t>
  </si>
  <si>
    <t>Margen Bruto</t>
  </si>
  <si>
    <t>Costos administrativos</t>
  </si>
  <si>
    <t xml:space="preserve">Costos financieros </t>
  </si>
  <si>
    <t>Costos de marketing</t>
  </si>
  <si>
    <t>Costo de ventas Comision</t>
  </si>
  <si>
    <t>Utilidad</t>
  </si>
  <si>
    <t>Total costos</t>
  </si>
  <si>
    <t>PROYECCCION DE VENTAS POR PRODUCTO Y POR DEPARTAMENTO Empresa Anterior</t>
  </si>
  <si>
    <t>PROYECCCION DE VENTAS POR PRODUCTO Y POR DEPARTAMENTO Empresa VIANUT</t>
  </si>
  <si>
    <t>Whey Protein</t>
  </si>
  <si>
    <t>Isolate Protein</t>
  </si>
  <si>
    <t>Vegan Protein</t>
  </si>
  <si>
    <t>Creat. stand</t>
  </si>
  <si>
    <t>Clear</t>
  </si>
  <si>
    <t>Enero</t>
  </si>
  <si>
    <t>Precio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</si>
  <si>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</si>
  <si>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</si>
  <si>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</si>
  <si>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</si>
  <si>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</si>
  <si>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</si>
  <si>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</si>
  <si>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</si>
  <si>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</si>
  <si>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</si>
  <si>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</si>
  <si>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Valor</t>
  </si>
  <si>
    <t>Ventas Brutas</t>
  </si>
  <si>
    <t>Total ventas brutas</t>
  </si>
  <si>
    <t>Ventas con impuestos (40% aprox)</t>
  </si>
  <si>
    <t>Impuestos 16%</t>
  </si>
  <si>
    <t>Ventas Netas (sin impuestos)</t>
  </si>
  <si>
    <t>Costo de produccion</t>
  </si>
  <si>
    <t>Costo Unitario</t>
  </si>
  <si>
    <t>Costo Total</t>
  </si>
  <si>
    <t>Costo total de produccion</t>
  </si>
  <si>
    <t>Margen bruto de contribucion</t>
  </si>
  <si>
    <t>COSTOS:</t>
  </si>
  <si>
    <t>Total Costos</t>
  </si>
  <si>
    <t>Costo de produccion inicial stock</t>
  </si>
  <si>
    <t>(Si el costo de materia prima mensual es de 153.955 Bs)</t>
  </si>
  <si>
    <t>Se asume el costo mat primas inicial</t>
  </si>
  <si>
    <t>Costo de materiales locales</t>
  </si>
  <si>
    <t>Se asume para cubrir el costo de prod</t>
  </si>
  <si>
    <t>(Se asume un 20% del costo de importacion)</t>
  </si>
  <si>
    <t>CRM</t>
  </si>
  <si>
    <t>PRESUPUESTO FIJO APROXIMADO MENSUAL</t>
  </si>
  <si>
    <t>RATIOS Y KPI PARA VENTAS</t>
  </si>
  <si>
    <t>Publicidad en medios dIgitales (Redes Sociales)</t>
  </si>
  <si>
    <t>Mesitas para degustación</t>
  </si>
  <si>
    <t>Influenceres</t>
  </si>
  <si>
    <t>Inversion/ Amortización</t>
  </si>
  <si>
    <t>*</t>
  </si>
  <si>
    <t>ventas</t>
  </si>
  <si>
    <t>2 cpacitaciónes al año</t>
  </si>
  <si>
    <t>Formula</t>
  </si>
  <si>
    <t xml:space="preserve">Salarios sobre ventas </t>
  </si>
  <si>
    <t>Margen sobre ventas (ROS)</t>
  </si>
  <si>
    <t>ROE</t>
  </si>
  <si>
    <t>PRESUPUESTO MARKETING Y PUBLICIDAD</t>
  </si>
  <si>
    <t>CONSERVADOR - 5% Sobre la Venta</t>
  </si>
  <si>
    <t>AGRESIVO/OPTIMISTA - 8% Sobre la Venta</t>
  </si>
  <si>
    <t xml:space="preserve">TOTAL VENTAS </t>
  </si>
  <si>
    <t>Estimacion annual</t>
  </si>
  <si>
    <t>Presupuesto mensual Redes</t>
  </si>
  <si>
    <t xml:space="preserve">Presupuesto mensual </t>
  </si>
  <si>
    <t>Redes Sociales</t>
  </si>
  <si>
    <t>Desglose 5% (Presupuesto)</t>
  </si>
  <si>
    <t>Desglose 8% (Presupuesto)</t>
  </si>
  <si>
    <t>Sampling e intercambio de producto</t>
  </si>
  <si>
    <t>Sampling intercambio de producto</t>
  </si>
  <si>
    <t>Datos anuales</t>
  </si>
  <si>
    <t>Dato mes</t>
  </si>
  <si>
    <t>Mes + 10%</t>
  </si>
  <si>
    <t xml:space="preserve">Depreacion </t>
  </si>
  <si>
    <t>Utilidad antes de depreciacion e impuesto a la utilidad</t>
  </si>
  <si>
    <t>Utilidad antes de impuesto a la utilidad</t>
  </si>
  <si>
    <t>Impuesto a la utilidad</t>
  </si>
  <si>
    <t>Utilidad despues de impuestos</t>
  </si>
  <si>
    <t>Patrimonio NETO</t>
  </si>
  <si>
    <t>Beneficio neto / Patrimonio neto</t>
  </si>
  <si>
    <t>ROA</t>
  </si>
  <si>
    <t>Activo Total</t>
  </si>
  <si>
    <t>Beneficio Neto/Activo Total</t>
  </si>
  <si>
    <t>ROS</t>
  </si>
  <si>
    <t>Beneficio Neto / Ventas Netas</t>
  </si>
  <si>
    <t xml:space="preserve">Tres meses </t>
  </si>
  <si>
    <t>Tres meses</t>
  </si>
  <si>
    <t>Alto</t>
  </si>
  <si>
    <t>Medio</t>
  </si>
  <si>
    <t>Bajo</t>
  </si>
  <si>
    <t xml:space="preserve">INFLUENCERS </t>
  </si>
  <si>
    <t>Influencer</t>
  </si>
  <si>
    <t>Material impreso</t>
  </si>
  <si>
    <t>impuestos</t>
  </si>
  <si>
    <t>Impuestos 4%</t>
  </si>
  <si>
    <t>Utilidad despues de impuesto a la utilidad</t>
  </si>
  <si>
    <t>Descuentos y promociones</t>
  </si>
  <si>
    <t>Margen (sobre 40% de la venta indirecta)</t>
  </si>
  <si>
    <t>Depresiación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</si>
</sst>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&quot;Bs&quot;\ #,##0.00"/>
    <numFmt numFmtId="165" formatCode="_-[$Bs-400A]* #,##0.00_-;\-[$Bs-400A]* #,##0.00_-;_-[$Bs-400A]* &quot;-&quot;??_-;_-@"/>
    <numFmt numFmtId="166" formatCode="_-[$$-80A]* #,##0.00_-;\-[$$-80A]* #,##0.00_-;_-[$$-80A]* &quot;-&quot;??_-;_-@"/>
    <numFmt numFmtId="167" formatCode="&quot;Bs&quot;\ #,##0"/>
  </numFmts>
  <fonts count="23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6"/>
      <color theme="1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b/>
      <sz val="18"/>
      <color theme="1"/>
      <name val="Calibri (Cuerpo)"/>
    </font>
    <font>
      <b/>
      <sz val="12"/>
      <color theme="1"/>
      <name val="Calibri (Cuerpo)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rgb="FFDAEEF3"/>
        <bgColor rgb="FFDAEEF3"/>
      </patternFill>
    </fill>
    <fill>
      <patternFill patternType="solid">
        <fgColor rgb="FFD8D8D8"/>
        <bgColor rgb="FFD8D8D8"/>
      </patternFill>
    </fill>
    <fill>
      <patternFill patternType="solid">
        <fgColor rgb="FFD9E1F2"/>
        <bgColor rgb="FFD9E1F2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rgb="FFDAEEF3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8" tint="0.79998168889431442"/>
        <bgColor rgb="FFFFFFFF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rgb="FFDAEEF3"/>
      </patternFill>
    </fill>
    <fill>
      <patternFill patternType="solid">
        <fgColor theme="7" tint="0.39997558519241921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8EA9DB"/>
      </bottom>
      <diagonal/>
    </border>
    <border>
      <left/>
      <right/>
      <top style="thin">
        <color rgb="FF8EA9DB"/>
      </top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/>
      <right/>
      <top style="thin">
        <color rgb="FF95B3D7"/>
      </top>
      <bottom style="thin">
        <color rgb="FF95B3D7"/>
      </bottom>
      <diagonal/>
    </border>
    <border>
      <left/>
      <right style="thin">
        <color rgb="FF95B3D7"/>
      </right>
      <top style="thin">
        <color rgb="FF95B3D7"/>
      </top>
      <bottom style="thin">
        <color rgb="FF95B3D7"/>
      </bottom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/>
      <right/>
      <top style="thin">
        <color rgb="FF95B3D7"/>
      </top>
      <bottom style="thin">
        <color rgb="FF95B3D7"/>
      </bottom>
      <diagonal/>
    </border>
    <border>
      <left/>
      <right style="thin">
        <color rgb="FF95B3D7"/>
      </right>
      <top style="thin">
        <color rgb="FF95B3D7"/>
      </top>
      <bottom style="thin">
        <color rgb="FF95B3D7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20" fillId="0" borderId="0" applyFont="0" applyFill="0" applyBorder="0" applyAlignment="0" applyProtection="0"/>
  </cellStyleXfs>
  <cellXfs count="184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top"/>
    </xf>
    <xf numFmtId="0" fontId="4" fillId="3" borderId="1" xfId="0" applyFont="1" applyFill="1" applyBorder="1"/>
    <xf numFmtId="164" fontId="4" fillId="3" borderId="1" xfId="0" applyNumberFormat="1" applyFont="1" applyFill="1" applyBorder="1"/>
    <xf numFmtId="164" fontId="4" fillId="0" borderId="0" xfId="0" applyNumberFormat="1" applyFont="1"/>
    <xf numFmtId="0" fontId="3" fillId="3" borderId="2" xfId="0" applyFont="1" applyFill="1" applyBorder="1"/>
    <xf numFmtId="0" fontId="3" fillId="0" borderId="1" xfId="0" applyFont="1" applyBorder="1" applyAlignment="1">
      <alignment horizontal="center" vertical="top"/>
    </xf>
    <xf numFmtId="0" fontId="4" fillId="4" borderId="1" xfId="0" applyFont="1" applyFill="1" applyBorder="1"/>
    <xf numFmtId="0" fontId="4" fillId="0" borderId="1" xfId="0" applyFont="1" applyBorder="1"/>
    <xf numFmtId="164" fontId="4" fillId="0" borderId="1" xfId="0" applyNumberFormat="1" applyFont="1" applyBorder="1"/>
    <xf numFmtId="164" fontId="3" fillId="3" borderId="1" xfId="0" applyNumberFormat="1" applyFont="1" applyFill="1" applyBorder="1"/>
    <xf numFmtId="0" fontId="4" fillId="2" borderId="2" xfId="0" applyFont="1" applyFill="1" applyBorder="1"/>
    <xf numFmtId="4" fontId="5" fillId="0" borderId="0" xfId="0" applyNumberFormat="1" applyFont="1"/>
    <xf numFmtId="4" fontId="2" fillId="0" borderId="0" xfId="0" applyNumberFormat="1" applyFont="1"/>
    <xf numFmtId="4" fontId="3" fillId="0" borderId="0" xfId="0" applyNumberFormat="1" applyFont="1" applyAlignment="1">
      <alignment horizontal="center" vertical="top"/>
    </xf>
    <xf numFmtId="4" fontId="6" fillId="5" borderId="0" xfId="0" applyNumberFormat="1" applyFont="1" applyFill="1"/>
    <xf numFmtId="4" fontId="7" fillId="0" borderId="0" xfId="0" applyNumberFormat="1" applyFont="1"/>
    <xf numFmtId="4" fontId="6" fillId="5" borderId="3" xfId="0" applyNumberFormat="1" applyFont="1" applyFill="1" applyBorder="1"/>
    <xf numFmtId="4" fontId="6" fillId="0" borderId="3" xfId="0" applyNumberFormat="1" applyFont="1" applyBorder="1" applyAlignment="1">
      <alignment horizontal="left"/>
    </xf>
    <xf numFmtId="4" fontId="6" fillId="0" borderId="3" xfId="0" applyNumberFormat="1" applyFont="1" applyBorder="1"/>
    <xf numFmtId="4" fontId="6" fillId="0" borderId="3" xfId="0" applyNumberFormat="1" applyFont="1" applyBorder="1" applyAlignment="1">
      <alignment horizontal="right"/>
    </xf>
    <xf numFmtId="4" fontId="7" fillId="0" borderId="0" xfId="0" applyNumberFormat="1" applyFont="1" applyAlignment="1">
      <alignment horizontal="left"/>
    </xf>
    <xf numFmtId="4" fontId="7" fillId="0" borderId="0" xfId="0" applyNumberFormat="1" applyFont="1" applyAlignment="1">
      <alignment horizontal="right"/>
    </xf>
    <xf numFmtId="4" fontId="6" fillId="5" borderId="4" xfId="0" applyNumberFormat="1" applyFont="1" applyFill="1" applyBorder="1" applyAlignment="1">
      <alignment horizontal="left"/>
    </xf>
    <xf numFmtId="4" fontId="6" fillId="5" borderId="4" xfId="0" applyNumberFormat="1" applyFont="1" applyFill="1" applyBorder="1" applyAlignment="1">
      <alignment horizontal="right"/>
    </xf>
    <xf numFmtId="0" fontId="4" fillId="0" borderId="0" xfId="0" applyFont="1"/>
    <xf numFmtId="0" fontId="4" fillId="3" borderId="2" xfId="0" applyFont="1" applyFill="1" applyBorder="1"/>
    <xf numFmtId="0" fontId="8" fillId="0" borderId="0" xfId="0" applyFont="1"/>
    <xf numFmtId="0" fontId="9" fillId="2" borderId="5" xfId="0" applyFont="1" applyFill="1" applyBorder="1"/>
    <xf numFmtId="0" fontId="9" fillId="2" borderId="6" xfId="0" applyFont="1" applyFill="1" applyBorder="1"/>
    <xf numFmtId="0" fontId="9" fillId="2" borderId="7" xfId="0" applyFont="1" applyFill="1" applyBorder="1"/>
    <xf numFmtId="14" fontId="4" fillId="3" borderId="5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/>
    <xf numFmtId="0" fontId="4" fillId="3" borderId="7" xfId="0" applyFont="1" applyFill="1" applyBorder="1"/>
    <xf numFmtId="0" fontId="3" fillId="3" borderId="1" xfId="0" applyFont="1" applyFill="1" applyBorder="1"/>
    <xf numFmtId="14" fontId="4" fillId="0" borderId="8" xfId="0" applyNumberFormat="1" applyFont="1" applyBorder="1" applyAlignment="1">
      <alignment horizontal="center" vertical="center" wrapText="1"/>
    </xf>
    <xf numFmtId="0" fontId="4" fillId="0" borderId="9" xfId="0" applyFont="1" applyBorder="1"/>
    <xf numFmtId="0" fontId="4" fillId="0" borderId="10" xfId="0" applyFont="1" applyBorder="1"/>
    <xf numFmtId="0" fontId="5" fillId="0" borderId="0" xfId="0" applyFont="1"/>
    <xf numFmtId="14" fontId="4" fillId="0" borderId="0" xfId="0" applyNumberFormat="1" applyFont="1"/>
    <xf numFmtId="0" fontId="10" fillId="0" borderId="0" xfId="0" applyFont="1" applyAlignment="1">
      <alignment horizontal="center"/>
    </xf>
    <xf numFmtId="43" fontId="4" fillId="0" borderId="0" xfId="0" applyNumberFormat="1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6" fillId="0" borderId="1" xfId="0" applyFont="1" applyBorder="1" applyAlignment="1">
      <alignment horizontal="center" vertical="top"/>
    </xf>
    <xf numFmtId="0" fontId="3" fillId="0" borderId="1" xfId="0" applyFont="1" applyBorder="1"/>
    <xf numFmtId="166" fontId="4" fillId="0" borderId="1" xfId="0" applyNumberFormat="1" applyFont="1" applyBorder="1"/>
    <xf numFmtId="165" fontId="4" fillId="0" borderId="1" xfId="0" applyNumberFormat="1" applyFont="1" applyBorder="1"/>
    <xf numFmtId="166" fontId="4" fillId="4" borderId="1" xfId="0" applyNumberFormat="1" applyFont="1" applyFill="1" applyBorder="1"/>
    <xf numFmtId="165" fontId="4" fillId="4" borderId="1" xfId="0" applyNumberFormat="1" applyFont="1" applyFill="1" applyBorder="1"/>
    <xf numFmtId="2" fontId="4" fillId="0" borderId="1" xfId="0" applyNumberFormat="1" applyFont="1" applyBorder="1"/>
    <xf numFmtId="0" fontId="4" fillId="0" borderId="1" xfId="0" applyFont="1" applyBorder="1" applyAlignment="1">
      <alignment horizontal="left"/>
    </xf>
    <xf numFmtId="165" fontId="4" fillId="4" borderId="2" xfId="0" applyNumberFormat="1" applyFont="1" applyFill="1" applyBorder="1"/>
    <xf numFmtId="0" fontId="4" fillId="4" borderId="2" xfId="0" applyFont="1" applyFill="1" applyBorder="1"/>
    <xf numFmtId="2" fontId="3" fillId="3" borderId="1" xfId="0" applyNumberFormat="1" applyFont="1" applyFill="1" applyBorder="1"/>
    <xf numFmtId="165" fontId="3" fillId="3" borderId="1" xfId="0" applyNumberFormat="1" applyFont="1" applyFill="1" applyBorder="1"/>
    <xf numFmtId="0" fontId="7" fillId="0" borderId="1" xfId="0" applyFont="1" applyBorder="1" applyAlignment="1">
      <alignment horizontal="center" vertical="top"/>
    </xf>
    <xf numFmtId="165" fontId="7" fillId="0" borderId="1" xfId="0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4" fontId="5" fillId="8" borderId="0" xfId="0" applyNumberFormat="1" applyFont="1" applyFill="1"/>
    <xf numFmtId="4" fontId="0" fillId="0" borderId="0" xfId="0" applyNumberFormat="1"/>
    <xf numFmtId="0" fontId="14" fillId="3" borderId="1" xfId="0" applyFont="1" applyFill="1" applyBorder="1"/>
    <xf numFmtId="4" fontId="5" fillId="9" borderId="0" xfId="0" applyNumberFormat="1" applyFont="1" applyFill="1"/>
    <xf numFmtId="4" fontId="5" fillId="0" borderId="11" xfId="0" applyNumberFormat="1" applyFont="1" applyBorder="1"/>
    <xf numFmtId="0" fontId="0" fillId="0" borderId="11" xfId="0" applyBorder="1"/>
    <xf numFmtId="4" fontId="5" fillId="12" borderId="0" xfId="0" applyNumberFormat="1" applyFont="1" applyFill="1"/>
    <xf numFmtId="4" fontId="15" fillId="13" borderId="0" xfId="0" applyNumberFormat="1" applyFont="1" applyFill="1"/>
    <xf numFmtId="4" fontId="13" fillId="13" borderId="0" xfId="0" applyNumberFormat="1" applyFont="1" applyFill="1"/>
    <xf numFmtId="4" fontId="13" fillId="14" borderId="0" xfId="0" applyNumberFormat="1" applyFont="1" applyFill="1"/>
    <xf numFmtId="4" fontId="7" fillId="0" borderId="12" xfId="0" applyNumberFormat="1" applyFont="1" applyBorder="1"/>
    <xf numFmtId="4" fontId="5" fillId="0" borderId="12" xfId="0" applyNumberFormat="1" applyFont="1" applyBorder="1"/>
    <xf numFmtId="4" fontId="5" fillId="11" borderId="0" xfId="0" applyNumberFormat="1" applyFont="1" applyFill="1"/>
    <xf numFmtId="0" fontId="0" fillId="11" borderId="0" xfId="0" applyFill="1" applyAlignment="1">
      <alignment horizontal="left"/>
    </xf>
    <xf numFmtId="4" fontId="5" fillId="15" borderId="0" xfId="0" applyNumberFormat="1" applyFont="1" applyFill="1"/>
    <xf numFmtId="4" fontId="5" fillId="15" borderId="14" xfId="0" applyNumberFormat="1" applyFont="1" applyFill="1" applyBorder="1"/>
    <xf numFmtId="4" fontId="5" fillId="15" borderId="13" xfId="0" applyNumberFormat="1" applyFont="1" applyFill="1" applyBorder="1"/>
    <xf numFmtId="0" fontId="4" fillId="3" borderId="12" xfId="0" applyFont="1" applyFill="1" applyBorder="1"/>
    <xf numFmtId="0" fontId="4" fillId="3" borderId="15" xfId="0" applyFont="1" applyFill="1" applyBorder="1"/>
    <xf numFmtId="4" fontId="13" fillId="9" borderId="0" xfId="0" applyNumberFormat="1" applyFont="1" applyFill="1"/>
    <xf numFmtId="4" fontId="13" fillId="0" borderId="0" xfId="0" applyNumberFormat="1" applyFont="1"/>
    <xf numFmtId="4" fontId="13" fillId="12" borderId="0" xfId="0" applyNumberFormat="1" applyFont="1" applyFill="1"/>
    <xf numFmtId="4" fontId="13" fillId="15" borderId="0" xfId="0" applyNumberFormat="1" applyFont="1" applyFill="1"/>
    <xf numFmtId="4" fontId="5" fillId="0" borderId="2" xfId="0" applyNumberFormat="1" applyFont="1" applyBorder="1"/>
    <xf numFmtId="0" fontId="16" fillId="0" borderId="1" xfId="0" applyFont="1" applyBorder="1" applyAlignment="1">
      <alignment horizontal="center" vertical="top"/>
    </xf>
    <xf numFmtId="0" fontId="13" fillId="0" borderId="0" xfId="0" applyFont="1"/>
    <xf numFmtId="4" fontId="15" fillId="6" borderId="0" xfId="0" applyNumberFormat="1" applyFont="1" applyFill="1"/>
    <xf numFmtId="4" fontId="15" fillId="7" borderId="0" xfId="0" applyNumberFormat="1" applyFont="1" applyFill="1" applyAlignment="1">
      <alignment horizontal="right"/>
    </xf>
    <xf numFmtId="0" fontId="0" fillId="12" borderId="0" xfId="0" applyFill="1"/>
    <xf numFmtId="0" fontId="13" fillId="9" borderId="0" xfId="0" applyFont="1" applyFill="1"/>
    <xf numFmtId="4" fontId="13" fillId="11" borderId="0" xfId="0" applyNumberFormat="1" applyFont="1" applyFill="1"/>
    <xf numFmtId="0" fontId="0" fillId="0" borderId="2" xfId="0" applyBorder="1"/>
    <xf numFmtId="4" fontId="13" fillId="0" borderId="2" xfId="0" applyNumberFormat="1" applyFont="1" applyBorder="1"/>
    <xf numFmtId="0" fontId="0" fillId="12" borderId="2" xfId="0" applyFill="1" applyBorder="1"/>
    <xf numFmtId="0" fontId="13" fillId="9" borderId="16" xfId="0" applyFont="1" applyFill="1" applyBorder="1"/>
    <xf numFmtId="4" fontId="13" fillId="11" borderId="16" xfId="0" applyNumberFormat="1" applyFont="1" applyFill="1" applyBorder="1"/>
    <xf numFmtId="4" fontId="0" fillId="0" borderId="16" xfId="0" applyNumberFormat="1" applyBorder="1"/>
    <xf numFmtId="0" fontId="0" fillId="0" borderId="16" xfId="0" applyBorder="1"/>
    <xf numFmtId="4" fontId="13" fillId="0" borderId="16" xfId="0" applyNumberFormat="1" applyFont="1" applyBorder="1"/>
    <xf numFmtId="0" fontId="0" fillId="12" borderId="16" xfId="0" applyFill="1" applyBorder="1"/>
    <xf numFmtId="0" fontId="13" fillId="0" borderId="16" xfId="0" applyFont="1" applyBorder="1"/>
    <xf numFmtId="4" fontId="13" fillId="10" borderId="0" xfId="0" applyNumberFormat="1" applyFont="1" applyFill="1"/>
    <xf numFmtId="4" fontId="13" fillId="10" borderId="11" xfId="0" applyNumberFormat="1" applyFont="1" applyFill="1" applyBorder="1"/>
    <xf numFmtId="0" fontId="13" fillId="10" borderId="0" xfId="0" applyFont="1" applyFill="1"/>
    <xf numFmtId="0" fontId="13" fillId="10" borderId="11" xfId="0" applyFont="1" applyFill="1" applyBorder="1"/>
    <xf numFmtId="0" fontId="13" fillId="10" borderId="2" xfId="0" applyFont="1" applyFill="1" applyBorder="1"/>
    <xf numFmtId="4" fontId="13" fillId="0" borderId="11" xfId="0" applyNumberFormat="1" applyFont="1" applyBorder="1"/>
    <xf numFmtId="4" fontId="13" fillId="11" borderId="2" xfId="0" applyNumberFormat="1" applyFont="1" applyFill="1" applyBorder="1"/>
    <xf numFmtId="164" fontId="17" fillId="3" borderId="1" xfId="0" applyNumberFormat="1" applyFont="1" applyFill="1" applyBorder="1"/>
    <xf numFmtId="164" fontId="3" fillId="3" borderId="2" xfId="0" applyNumberFormat="1" applyFont="1" applyFill="1" applyBorder="1"/>
    <xf numFmtId="0" fontId="3" fillId="0" borderId="2" xfId="0" applyFont="1" applyBorder="1"/>
    <xf numFmtId="164" fontId="4" fillId="0" borderId="2" xfId="0" applyNumberFormat="1" applyFont="1" applyBorder="1"/>
    <xf numFmtId="0" fontId="0" fillId="18" borderId="0" xfId="0" applyFill="1"/>
    <xf numFmtId="0" fontId="17" fillId="0" borderId="1" xfId="0" applyFont="1" applyBorder="1"/>
    <xf numFmtId="0" fontId="6" fillId="0" borderId="17" xfId="0" applyFont="1" applyBorder="1" applyAlignment="1">
      <alignment horizontal="center" vertical="top"/>
    </xf>
    <xf numFmtId="9" fontId="0" fillId="0" borderId="0" xfId="0" applyNumberFormat="1"/>
    <xf numFmtId="0" fontId="18" fillId="0" borderId="0" xfId="0" applyFont="1"/>
    <xf numFmtId="0" fontId="0" fillId="20" borderId="0" xfId="0" applyFill="1"/>
    <xf numFmtId="0" fontId="13" fillId="20" borderId="0" xfId="0" applyFont="1" applyFill="1"/>
    <xf numFmtId="0" fontId="16" fillId="0" borderId="2" xfId="0" applyFont="1" applyBorder="1" applyAlignment="1">
      <alignment horizontal="center" vertical="top"/>
    </xf>
    <xf numFmtId="0" fontId="5" fillId="0" borderId="2" xfId="0" applyFont="1" applyBorder="1"/>
    <xf numFmtId="164" fontId="3" fillId="0" borderId="2" xfId="0" applyNumberFormat="1" applyFont="1" applyBorder="1"/>
    <xf numFmtId="0" fontId="16" fillId="20" borderId="1" xfId="0" applyFont="1" applyFill="1" applyBorder="1" applyAlignment="1">
      <alignment horizontal="center" vertical="top"/>
    </xf>
    <xf numFmtId="0" fontId="16" fillId="20" borderId="18" xfId="0" applyFont="1" applyFill="1" applyBorder="1" applyAlignment="1">
      <alignment horizontal="center" vertical="top"/>
    </xf>
    <xf numFmtId="0" fontId="15" fillId="22" borderId="1" xfId="0" applyFont="1" applyFill="1" applyBorder="1" applyAlignment="1">
      <alignment horizontal="center"/>
    </xf>
    <xf numFmtId="164" fontId="4" fillId="0" borderId="20" xfId="0" applyNumberFormat="1" applyFont="1" applyBorder="1"/>
    <xf numFmtId="164" fontId="5" fillId="0" borderId="18" xfId="0" applyNumberFormat="1" applyFont="1" applyBorder="1"/>
    <xf numFmtId="164" fontId="5" fillId="0" borderId="19" xfId="0" applyNumberFormat="1" applyFont="1" applyBorder="1"/>
    <xf numFmtId="164" fontId="13" fillId="20" borderId="0" xfId="0" applyNumberFormat="1" applyFont="1" applyFill="1"/>
    <xf numFmtId="167" fontId="0" fillId="0" borderId="0" xfId="0" applyNumberFormat="1"/>
    <xf numFmtId="167" fontId="5" fillId="0" borderId="0" xfId="0" applyNumberFormat="1" applyFont="1"/>
    <xf numFmtId="2" fontId="0" fillId="0" borderId="0" xfId="0" applyNumberFormat="1"/>
    <xf numFmtId="1" fontId="0" fillId="0" borderId="0" xfId="0" applyNumberFormat="1"/>
    <xf numFmtId="0" fontId="13" fillId="21" borderId="14" xfId="0" applyFont="1" applyFill="1" applyBorder="1"/>
    <xf numFmtId="0" fontId="13" fillId="21" borderId="13" xfId="0" applyFont="1" applyFill="1" applyBorder="1"/>
    <xf numFmtId="9" fontId="0" fillId="21" borderId="0" xfId="0" applyNumberFormat="1" applyFill="1"/>
    <xf numFmtId="1" fontId="0" fillId="0" borderId="11" xfId="0" applyNumberFormat="1" applyBorder="1"/>
    <xf numFmtId="1" fontId="5" fillId="0" borderId="11" xfId="0" applyNumberFormat="1" applyFont="1" applyBorder="1"/>
    <xf numFmtId="9" fontId="0" fillId="19" borderId="0" xfId="0" applyNumberFormat="1" applyFill="1"/>
    <xf numFmtId="0" fontId="19" fillId="19" borderId="22" xfId="0" applyFont="1" applyFill="1" applyBorder="1"/>
    <xf numFmtId="0" fontId="0" fillId="19" borderId="21" xfId="0" applyFill="1" applyBorder="1"/>
    <xf numFmtId="0" fontId="13" fillId="13" borderId="16" xfId="0" applyFont="1" applyFill="1" applyBorder="1"/>
    <xf numFmtId="0" fontId="13" fillId="13" borderId="11" xfId="0" applyFont="1" applyFill="1" applyBorder="1"/>
    <xf numFmtId="0" fontId="5" fillId="0" borderId="16" xfId="0" applyFont="1" applyBorder="1"/>
    <xf numFmtId="0" fontId="0" fillId="0" borderId="23" xfId="0" applyBorder="1"/>
    <xf numFmtId="0" fontId="13" fillId="19" borderId="22" xfId="0" applyFont="1" applyFill="1" applyBorder="1"/>
    <xf numFmtId="9" fontId="0" fillId="0" borderId="0" xfId="1" applyFont="1"/>
    <xf numFmtId="3" fontId="5" fillId="8" borderId="0" xfId="0" applyNumberFormat="1" applyFont="1" applyFill="1"/>
    <xf numFmtId="4" fontId="1" fillId="0" borderId="0" xfId="0" applyNumberFormat="1" applyFont="1"/>
    <xf numFmtId="4" fontId="1" fillId="23" borderId="0" xfId="0" applyNumberFormat="1" applyFont="1" applyFill="1"/>
    <xf numFmtId="4" fontId="5" fillId="23" borderId="0" xfId="0" applyNumberFormat="1" applyFont="1" applyFill="1"/>
    <xf numFmtId="9" fontId="5" fillId="0" borderId="0" xfId="1" applyFont="1"/>
    <xf numFmtId="4" fontId="1" fillId="8" borderId="0" xfId="0" applyNumberFormat="1" applyFont="1" applyFill="1"/>
    <xf numFmtId="9" fontId="13" fillId="8" borderId="0" xfId="1" applyFont="1" applyFill="1"/>
    <xf numFmtId="0" fontId="13" fillId="8" borderId="0" xfId="0" applyFont="1" applyFill="1"/>
    <xf numFmtId="0" fontId="3" fillId="2" borderId="17" xfId="0" applyFont="1" applyFill="1" applyBorder="1" applyAlignment="1">
      <alignment horizontal="center" vertical="top"/>
    </xf>
    <xf numFmtId="164" fontId="4" fillId="3" borderId="24" xfId="0" applyNumberFormat="1" applyFont="1" applyFill="1" applyBorder="1"/>
    <xf numFmtId="164" fontId="4" fillId="17" borderId="24" xfId="0" applyNumberFormat="1" applyFont="1" applyFill="1" applyBorder="1"/>
    <xf numFmtId="164" fontId="4" fillId="16" borderId="24" xfId="0" applyNumberFormat="1" applyFont="1" applyFill="1" applyBorder="1"/>
    <xf numFmtId="164" fontId="4" fillId="3" borderId="25" xfId="0" applyNumberFormat="1" applyFont="1" applyFill="1" applyBorder="1"/>
    <xf numFmtId="164" fontId="4" fillId="3" borderId="26" xfId="0" applyNumberFormat="1" applyFont="1" applyFill="1" applyBorder="1"/>
    <xf numFmtId="164" fontId="17" fillId="3" borderId="26" xfId="0" applyNumberFormat="1" applyFont="1" applyFill="1" applyBorder="1"/>
    <xf numFmtId="164" fontId="0" fillId="24" borderId="12" xfId="0" applyNumberFormat="1" applyFill="1" applyBorder="1"/>
    <xf numFmtId="0" fontId="0" fillId="24" borderId="12" xfId="0" applyFill="1" applyBorder="1"/>
    <xf numFmtId="164" fontId="0" fillId="24" borderId="0" xfId="0" applyNumberFormat="1" applyFill="1"/>
    <xf numFmtId="164" fontId="17" fillId="3" borderId="24" xfId="0" applyNumberFormat="1" applyFont="1" applyFill="1" applyBorder="1"/>
    <xf numFmtId="164" fontId="4" fillId="25" borderId="24" xfId="0" applyNumberFormat="1" applyFont="1" applyFill="1" applyBorder="1"/>
    <xf numFmtId="164" fontId="21" fillId="24" borderId="12" xfId="0" applyNumberFormat="1" applyFont="1" applyFill="1" applyBorder="1"/>
    <xf numFmtId="0" fontId="1" fillId="0" borderId="0" xfId="0" applyFont="1"/>
    <xf numFmtId="0" fontId="1" fillId="0" borderId="16" xfId="0" applyFont="1" applyBorder="1"/>
    <xf numFmtId="0" fontId="0" fillId="21" borderId="0" xfId="0" applyFill="1"/>
    <xf numFmtId="0" fontId="13" fillId="21" borderId="0" xfId="0" applyFont="1" applyFill="1"/>
    <xf numFmtId="0" fontId="1" fillId="0" borderId="27" xfId="0" applyFont="1" applyBorder="1"/>
    <xf numFmtId="4" fontId="5" fillId="18" borderId="0" xfId="0" applyNumberFormat="1" applyFont="1" applyFill="1"/>
    <xf numFmtId="9" fontId="1" fillId="0" borderId="0" xfId="0" applyNumberFormat="1" applyFont="1"/>
    <xf numFmtId="0" fontId="1" fillId="26" borderId="0" xfId="0" applyFont="1" applyFill="1"/>
    <xf numFmtId="4" fontId="22" fillId="0" borderId="2" xfId="0" applyNumberFormat="1" applyFont="1" applyBorder="1"/>
    <xf numFmtId="0" fontId="0" fillId="0" borderId="12" xfId="0" applyBorder="1"/>
    <xf numFmtId="4" fontId="5" fillId="8" borderId="12" xfId="0" applyNumberFormat="1" applyFont="1" applyFill="1" applyBorder="1"/>
    <xf numFmtId="1" fontId="0" fillId="0" borderId="12" xfId="0" applyNumberFormat="1" applyBorder="1"/>
    <xf numFmtId="4" fontId="2" fillId="0" borderId="2" xfId="0" applyNumberFormat="1" applyFont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2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G1004"/>
  <sheetViews>
    <sheetView topLeftCell="A24" zoomScale="125" workbookViewId="0">
      <selection activeCell="D60" sqref="D60"/>
    </sheetView>
  </sheetViews>
  <sheetFormatPr baseColWidth="10" defaultColWidth="14.5" defaultRowHeight="15" customHeight="1" x14ac:dyDescent="0.2"/>
  <cols>
    <col min="1" max="1" width="37" customWidth="1"/>
    <col min="2" max="2" width="36.1640625" customWidth="1"/>
    <col min="3" max="3" width="14.1640625" customWidth="1"/>
    <col min="4" max="4" width="23" customWidth="1"/>
    <col min="5" max="5" width="13.6640625" customWidth="1"/>
    <col min="6" max="6" width="11.83203125" customWidth="1"/>
    <col min="7" max="26" width="8.83203125" customWidth="1"/>
  </cols>
  <sheetData>
    <row r="3" spans="1:5" ht="24" x14ac:dyDescent="0.3">
      <c r="A3" s="1" t="s">
        <v>0</v>
      </c>
    </row>
    <row r="4" spans="1:5" x14ac:dyDescent="0.2">
      <c r="A4" s="2" t="s">
        <v>1</v>
      </c>
      <c r="B4" s="2" t="s">
        <v>2</v>
      </c>
      <c r="C4" s="2" t="s">
        <v>3</v>
      </c>
      <c r="D4" s="158" t="s">
        <v>570</v>
      </c>
    </row>
    <row r="5" spans="1:5" x14ac:dyDescent="0.2">
      <c r="A5" s="3" t="s">
        <v>4</v>
      </c>
      <c r="B5" s="3"/>
      <c r="C5" s="159">
        <v>130</v>
      </c>
      <c r="D5" s="165">
        <f>+C5</f>
        <v>130</v>
      </c>
    </row>
    <row r="6" spans="1:5" x14ac:dyDescent="0.2">
      <c r="A6" s="3" t="s">
        <v>5</v>
      </c>
      <c r="B6" s="3"/>
      <c r="C6" s="159">
        <f>(200*45)+7000</f>
        <v>16000</v>
      </c>
      <c r="D6" s="165">
        <f>+C6</f>
        <v>16000</v>
      </c>
    </row>
    <row r="7" spans="1:5" x14ac:dyDescent="0.2">
      <c r="A7" s="3" t="s">
        <v>7</v>
      </c>
      <c r="B7" s="3" t="s">
        <v>8</v>
      </c>
      <c r="C7" s="159">
        <v>20280</v>
      </c>
      <c r="D7" s="165">
        <f>+C7</f>
        <v>20280</v>
      </c>
    </row>
    <row r="8" spans="1:5" x14ac:dyDescent="0.2">
      <c r="A8" s="3" t="s">
        <v>7</v>
      </c>
      <c r="B8" s="3" t="s">
        <v>9</v>
      </c>
      <c r="C8" s="160">
        <v>2000</v>
      </c>
      <c r="D8" s="166">
        <f>+C8*3</f>
        <v>6000</v>
      </c>
    </row>
    <row r="9" spans="1:5" x14ac:dyDescent="0.2">
      <c r="A9" s="3" t="s">
        <v>7</v>
      </c>
      <c r="B9" s="3" t="s">
        <v>10</v>
      </c>
      <c r="C9" s="161">
        <v>1000</v>
      </c>
      <c r="D9" s="166">
        <f>+C9*3</f>
        <v>3000</v>
      </c>
    </row>
    <row r="10" spans="1:5" x14ac:dyDescent="0.2">
      <c r="A10" s="3" t="s">
        <v>13</v>
      </c>
      <c r="B10" s="3" t="s">
        <v>14</v>
      </c>
      <c r="C10" s="159">
        <v>5070</v>
      </c>
      <c r="D10" s="165">
        <f>+C10</f>
        <v>5070</v>
      </c>
    </row>
    <row r="11" spans="1:5" x14ac:dyDescent="0.2">
      <c r="A11" s="3" t="s">
        <v>15</v>
      </c>
      <c r="B11" s="3" t="s">
        <v>16</v>
      </c>
      <c r="C11" s="159">
        <v>2000</v>
      </c>
      <c r="D11" s="165">
        <f>+C11*3</f>
        <v>6000</v>
      </c>
    </row>
    <row r="12" spans="1:5" x14ac:dyDescent="0.2">
      <c r="A12" s="81" t="s">
        <v>15</v>
      </c>
      <c r="B12" s="81" t="s">
        <v>17</v>
      </c>
      <c r="C12" s="162">
        <v>2000</v>
      </c>
      <c r="D12" s="165">
        <f>+C12*3</f>
        <v>6000</v>
      </c>
    </row>
    <row r="13" spans="1:5" x14ac:dyDescent="0.2">
      <c r="A13" s="80"/>
      <c r="B13" s="80"/>
      <c r="C13" s="163"/>
      <c r="D13" s="166"/>
    </row>
    <row r="14" spans="1:5" x14ac:dyDescent="0.2">
      <c r="A14" s="80" t="s">
        <v>523</v>
      </c>
      <c r="B14" s="80" t="s">
        <v>525</v>
      </c>
      <c r="C14" s="164">
        <v>153955</v>
      </c>
      <c r="D14" s="170">
        <f>+C14*3</f>
        <v>461865</v>
      </c>
      <c r="E14" t="s">
        <v>524</v>
      </c>
    </row>
    <row r="15" spans="1:5" x14ac:dyDescent="0.2">
      <c r="A15" s="80" t="s">
        <v>526</v>
      </c>
      <c r="B15" s="80" t="s">
        <v>527</v>
      </c>
      <c r="C15" s="164">
        <f>+C14*0.2</f>
        <v>30791</v>
      </c>
      <c r="D15" s="170">
        <f>+C15*3</f>
        <v>92373</v>
      </c>
      <c r="E15" t="s">
        <v>528</v>
      </c>
    </row>
    <row r="16" spans="1:5" x14ac:dyDescent="0.2">
      <c r="C16" s="5"/>
    </row>
    <row r="17" spans="1:4" x14ac:dyDescent="0.2">
      <c r="B17" s="6" t="s">
        <v>18</v>
      </c>
      <c r="C17" s="112">
        <f>+C15+C14+C13+C12+C11+C10+C9+C8+C7+C6+C5</f>
        <v>233226</v>
      </c>
      <c r="D17" s="167">
        <f>SUM(D5:D16)</f>
        <v>616718</v>
      </c>
    </row>
    <row r="21" spans="1:4" ht="24" x14ac:dyDescent="0.3">
      <c r="A21" s="1" t="s">
        <v>530</v>
      </c>
    </row>
    <row r="22" spans="1:4" ht="15.75" customHeight="1" x14ac:dyDescent="0.2">
      <c r="A22" s="2" t="s">
        <v>1</v>
      </c>
      <c r="B22" s="2" t="s">
        <v>2</v>
      </c>
      <c r="C22" s="2" t="s">
        <v>3</v>
      </c>
      <c r="D22" s="158" t="s">
        <v>571</v>
      </c>
    </row>
    <row r="23" spans="1:4" ht="15.75" customHeight="1" x14ac:dyDescent="0.2">
      <c r="A23" s="3" t="s">
        <v>19</v>
      </c>
      <c r="B23" s="3" t="s">
        <v>20</v>
      </c>
      <c r="C23" s="159">
        <v>3132</v>
      </c>
      <c r="D23" s="169">
        <f>+C23*3</f>
        <v>9396</v>
      </c>
    </row>
    <row r="24" spans="1:4" ht="15.75" customHeight="1" x14ac:dyDescent="0.2">
      <c r="A24" s="3" t="s">
        <v>21</v>
      </c>
      <c r="B24" s="3"/>
      <c r="C24" s="159">
        <f>2500+450</f>
        <v>2950</v>
      </c>
      <c r="D24" s="169">
        <f t="shared" ref="D24:D34" si="0">+C24*3</f>
        <v>8850</v>
      </c>
    </row>
    <row r="25" spans="1:4" ht="15.75" customHeight="1" x14ac:dyDescent="0.2">
      <c r="A25" s="3" t="s">
        <v>22</v>
      </c>
      <c r="B25" s="3" t="s">
        <v>23</v>
      </c>
      <c r="C25" s="159">
        <v>15</v>
      </c>
      <c r="D25" s="169">
        <f t="shared" si="0"/>
        <v>45</v>
      </c>
    </row>
    <row r="26" spans="1:4" ht="15.75" customHeight="1" x14ac:dyDescent="0.2">
      <c r="A26" s="3" t="s">
        <v>22</v>
      </c>
      <c r="B26" s="3" t="s">
        <v>24</v>
      </c>
      <c r="C26" s="159">
        <v>220</v>
      </c>
      <c r="D26" s="169">
        <f t="shared" si="0"/>
        <v>660</v>
      </c>
    </row>
    <row r="27" spans="1:4" ht="15.75" customHeight="1" x14ac:dyDescent="0.2">
      <c r="A27" s="3" t="s">
        <v>22</v>
      </c>
      <c r="B27" s="3" t="s">
        <v>25</v>
      </c>
      <c r="C27" s="159">
        <v>179</v>
      </c>
      <c r="D27" s="169">
        <f t="shared" si="0"/>
        <v>537</v>
      </c>
    </row>
    <row r="28" spans="1:4" ht="15.75" customHeight="1" x14ac:dyDescent="0.2">
      <c r="A28" s="65" t="s">
        <v>22</v>
      </c>
      <c r="B28" s="3" t="s">
        <v>26</v>
      </c>
      <c r="C28" s="159">
        <v>20</v>
      </c>
      <c r="D28" s="169">
        <f t="shared" si="0"/>
        <v>60</v>
      </c>
    </row>
    <row r="29" spans="1:4" ht="15.75" customHeight="1" x14ac:dyDescent="0.2">
      <c r="A29" s="3" t="s">
        <v>22</v>
      </c>
      <c r="B29" s="3" t="s">
        <v>27</v>
      </c>
      <c r="C29" s="159">
        <v>200</v>
      </c>
      <c r="D29" s="169">
        <f t="shared" si="0"/>
        <v>600</v>
      </c>
    </row>
    <row r="30" spans="1:4" ht="15.75" customHeight="1" x14ac:dyDescent="0.2">
      <c r="A30" s="3" t="s">
        <v>28</v>
      </c>
      <c r="B30" s="3" t="s">
        <v>28</v>
      </c>
      <c r="C30" s="159">
        <v>221.67</v>
      </c>
      <c r="D30" s="169">
        <f t="shared" si="0"/>
        <v>665.01</v>
      </c>
    </row>
    <row r="31" spans="1:4" ht="15.75" customHeight="1" x14ac:dyDescent="0.2">
      <c r="A31" s="3" t="s">
        <v>30</v>
      </c>
      <c r="B31" s="3" t="s">
        <v>31</v>
      </c>
      <c r="C31" s="159">
        <v>2000</v>
      </c>
      <c r="D31" s="169">
        <f t="shared" si="0"/>
        <v>6000</v>
      </c>
    </row>
    <row r="32" spans="1:4" ht="15.75" customHeight="1" x14ac:dyDescent="0.2">
      <c r="A32" s="3" t="s">
        <v>11</v>
      </c>
      <c r="B32" s="3" t="s">
        <v>12</v>
      </c>
      <c r="C32" s="159">
        <v>400</v>
      </c>
      <c r="D32" s="169">
        <f t="shared" si="0"/>
        <v>1200</v>
      </c>
    </row>
    <row r="33" spans="1:7" ht="15.75" customHeight="1" x14ac:dyDescent="0.2">
      <c r="A33" s="3" t="s">
        <v>356</v>
      </c>
      <c r="B33" s="3" t="s">
        <v>356</v>
      </c>
      <c r="C33" s="159">
        <v>300</v>
      </c>
      <c r="D33" s="169">
        <f t="shared" si="0"/>
        <v>900</v>
      </c>
    </row>
    <row r="34" spans="1:7" ht="15.75" customHeight="1" x14ac:dyDescent="0.2">
      <c r="A34" s="3" t="s">
        <v>32</v>
      </c>
      <c r="B34" s="3" t="s">
        <v>529</v>
      </c>
      <c r="C34" s="168">
        <v>300</v>
      </c>
      <c r="D34" s="169">
        <f t="shared" si="0"/>
        <v>900</v>
      </c>
    </row>
    <row r="35" spans="1:7" ht="15.75" customHeight="1" x14ac:dyDescent="0.2">
      <c r="C35" s="5"/>
      <c r="D35" s="124"/>
    </row>
    <row r="36" spans="1:7" ht="15.75" customHeight="1" x14ac:dyDescent="0.2">
      <c r="B36" s="6" t="s">
        <v>18</v>
      </c>
      <c r="C36" s="112">
        <f>SUM(C23:C34)</f>
        <v>9937.67</v>
      </c>
      <c r="D36" s="112">
        <f>SUM(D23:D35)</f>
        <v>29813.01</v>
      </c>
    </row>
    <row r="37" spans="1:7" ht="11" customHeight="1" x14ac:dyDescent="0.2"/>
    <row r="38" spans="1:7" ht="22" customHeight="1" x14ac:dyDescent="0.3">
      <c r="A38" s="119" t="s">
        <v>543</v>
      </c>
      <c r="D38" s="39"/>
    </row>
    <row r="39" spans="1:7" ht="15.75" customHeight="1" x14ac:dyDescent="0.3">
      <c r="A39" s="119"/>
      <c r="D39" s="39"/>
      <c r="F39" s="138">
        <v>0.05</v>
      </c>
      <c r="G39" s="141">
        <v>0.08</v>
      </c>
    </row>
    <row r="40" spans="1:7" ht="15.75" customHeight="1" x14ac:dyDescent="0.2">
      <c r="A40" s="142" t="s">
        <v>544</v>
      </c>
      <c r="B40" s="143"/>
      <c r="D40" s="136" t="s">
        <v>546</v>
      </c>
      <c r="E40" s="139">
        <v>40000</v>
      </c>
      <c r="F40" s="135">
        <f>E40*F39</f>
        <v>2000</v>
      </c>
      <c r="G40">
        <f>E40*G39</f>
        <v>3200</v>
      </c>
    </row>
    <row r="41" spans="1:7" ht="15.75" customHeight="1" x14ac:dyDescent="0.2">
      <c r="A41" s="144" t="s">
        <v>548</v>
      </c>
      <c r="B41" s="145">
        <v>1500</v>
      </c>
      <c r="D41" s="137" t="s">
        <v>547</v>
      </c>
      <c r="E41" s="140">
        <f>+E40*12</f>
        <v>480000</v>
      </c>
      <c r="F41" s="135">
        <f>E41*F39</f>
        <v>24000</v>
      </c>
      <c r="G41" s="39">
        <f>E41*G39</f>
        <v>38400</v>
      </c>
    </row>
    <row r="42" spans="1:7" ht="15.75" customHeight="1" x14ac:dyDescent="0.2">
      <c r="A42" s="146" t="s">
        <v>553</v>
      </c>
      <c r="B42" s="68">
        <v>700</v>
      </c>
      <c r="D42" s="39"/>
      <c r="E42" s="133"/>
      <c r="F42" s="132"/>
      <c r="G42" s="39"/>
    </row>
    <row r="43" spans="1:7" ht="15.75" customHeight="1" x14ac:dyDescent="0.2">
      <c r="A43" s="172" t="s">
        <v>550</v>
      </c>
      <c r="B43" s="68">
        <v>800</v>
      </c>
      <c r="D43" s="39"/>
      <c r="E43" s="133"/>
      <c r="F43" s="132"/>
      <c r="G43" s="39"/>
    </row>
    <row r="44" spans="1:7" ht="15.75" customHeight="1" x14ac:dyDescent="0.2">
      <c r="A44" s="144" t="s">
        <v>551</v>
      </c>
      <c r="B44" s="145">
        <v>2000</v>
      </c>
      <c r="D44" s="39"/>
      <c r="F44" s="134"/>
    </row>
    <row r="45" spans="1:7" ht="15.75" customHeight="1" x14ac:dyDescent="0.2">
      <c r="A45" s="146" t="s">
        <v>533</v>
      </c>
      <c r="B45" s="68">
        <v>1200</v>
      </c>
      <c r="D45" s="39"/>
      <c r="E45" s="39"/>
      <c r="G45" s="39"/>
    </row>
    <row r="46" spans="1:7" ht="15.75" customHeight="1" x14ac:dyDescent="0.2">
      <c r="A46" s="172" t="s">
        <v>576</v>
      </c>
      <c r="B46" s="68">
        <v>500</v>
      </c>
      <c r="D46" s="39"/>
      <c r="E46" s="39"/>
      <c r="G46" s="39"/>
    </row>
    <row r="47" spans="1:7" ht="15.75" customHeight="1" x14ac:dyDescent="0.2">
      <c r="A47" s="175" t="s">
        <v>577</v>
      </c>
      <c r="B47" s="147">
        <v>300</v>
      </c>
      <c r="D47" s="39"/>
    </row>
    <row r="48" spans="1:7" ht="15.75" customHeight="1" x14ac:dyDescent="0.2">
      <c r="A48" s="39"/>
      <c r="D48" s="118"/>
    </row>
    <row r="49" spans="1:7" ht="15.75" customHeight="1" x14ac:dyDescent="0.2">
      <c r="A49" s="39"/>
      <c r="D49" s="118"/>
      <c r="F49" s="39"/>
    </row>
    <row r="50" spans="1:7" ht="15.75" customHeight="1" x14ac:dyDescent="0.2"/>
    <row r="51" spans="1:7" ht="15.75" customHeight="1" x14ac:dyDescent="0.2">
      <c r="A51" s="148" t="s">
        <v>545</v>
      </c>
      <c r="B51" s="143"/>
    </row>
    <row r="52" spans="1:7" ht="15.75" customHeight="1" x14ac:dyDescent="0.2">
      <c r="A52" s="144" t="s">
        <v>549</v>
      </c>
      <c r="B52" s="145">
        <v>1500</v>
      </c>
      <c r="D52" s="174" t="s">
        <v>575</v>
      </c>
      <c r="E52" s="173"/>
      <c r="F52" s="173"/>
      <c r="G52" s="173"/>
    </row>
    <row r="53" spans="1:7" ht="15.75" customHeight="1" x14ac:dyDescent="0.2">
      <c r="A53" s="146" t="s">
        <v>550</v>
      </c>
      <c r="B53" s="68">
        <v>800</v>
      </c>
      <c r="D53" s="171" t="s">
        <v>572</v>
      </c>
      <c r="E53">
        <v>11500</v>
      </c>
      <c r="F53">
        <v>10500</v>
      </c>
    </row>
    <row r="54" spans="1:7" ht="15.75" customHeight="1" x14ac:dyDescent="0.2">
      <c r="A54" s="146" t="s">
        <v>554</v>
      </c>
      <c r="B54" s="68">
        <v>700</v>
      </c>
      <c r="D54" s="171" t="s">
        <v>573</v>
      </c>
      <c r="E54">
        <v>9000</v>
      </c>
      <c r="F54">
        <v>7000</v>
      </c>
      <c r="G54">
        <v>5000</v>
      </c>
    </row>
    <row r="55" spans="1:7" ht="15.75" customHeight="1" x14ac:dyDescent="0.2">
      <c r="A55" s="146"/>
      <c r="B55" s="68"/>
      <c r="D55" s="171" t="s">
        <v>574</v>
      </c>
      <c r="E55">
        <v>4000</v>
      </c>
      <c r="F55">
        <v>3500</v>
      </c>
      <c r="G55">
        <v>2000</v>
      </c>
    </row>
    <row r="56" spans="1:7" ht="15.75" customHeight="1" x14ac:dyDescent="0.2">
      <c r="A56" s="144" t="s">
        <v>552</v>
      </c>
      <c r="B56" s="145">
        <v>3200</v>
      </c>
      <c r="E56">
        <v>1000</v>
      </c>
      <c r="G56">
        <v>500</v>
      </c>
    </row>
    <row r="57" spans="1:7" ht="15.75" customHeight="1" x14ac:dyDescent="0.2">
      <c r="A57" s="172" t="s">
        <v>533</v>
      </c>
      <c r="B57" s="68">
        <v>1200</v>
      </c>
    </row>
    <row r="58" spans="1:7" ht="15.75" customHeight="1" x14ac:dyDescent="0.2">
      <c r="A58" s="146" t="s">
        <v>534</v>
      </c>
      <c r="B58" s="68">
        <v>1500</v>
      </c>
    </row>
    <row r="59" spans="1:7" ht="15.75" customHeight="1" x14ac:dyDescent="0.2">
      <c r="A59" s="175" t="s">
        <v>577</v>
      </c>
      <c r="B59" s="147">
        <v>300</v>
      </c>
    </row>
    <row r="60" spans="1:7" ht="15.75" customHeight="1" x14ac:dyDescent="0.2"/>
    <row r="61" spans="1:7" ht="15.75" customHeight="1" x14ac:dyDescent="0.2"/>
    <row r="62" spans="1:7" ht="15.75" customHeight="1" x14ac:dyDescent="0.2"/>
    <row r="63" spans="1:7" ht="15.75" customHeight="1" x14ac:dyDescent="0.2"/>
    <row r="64" spans="1:7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</sheetData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3:F1000"/>
  <sheetViews>
    <sheetView workbookViewId="0">
      <selection activeCell="F8" sqref="F8"/>
    </sheetView>
  </sheetViews>
  <sheetFormatPr baseColWidth="10" defaultColWidth="14.5" defaultRowHeight="15" customHeight="1" x14ac:dyDescent="0.2"/>
  <cols>
    <col min="1" max="1" width="8.83203125" customWidth="1"/>
    <col min="2" max="2" width="11.6640625" customWidth="1"/>
    <col min="3" max="3" width="17.83203125" customWidth="1"/>
    <col min="4" max="5" width="18.5" customWidth="1"/>
    <col min="6" max="6" width="13.33203125" customWidth="1"/>
    <col min="7" max="26" width="8.83203125" customWidth="1"/>
  </cols>
  <sheetData>
    <row r="3" spans="1:6" ht="24" x14ac:dyDescent="0.3">
      <c r="A3" s="1" t="s">
        <v>463</v>
      </c>
    </row>
    <row r="4" spans="1:6" x14ac:dyDescent="0.2">
      <c r="A4" s="47" t="s">
        <v>464</v>
      </c>
      <c r="B4" s="7" t="s">
        <v>328</v>
      </c>
      <c r="C4" s="7" t="s">
        <v>465</v>
      </c>
      <c r="D4" s="7" t="s">
        <v>466</v>
      </c>
      <c r="E4" s="7" t="s">
        <v>467</v>
      </c>
      <c r="F4" s="7" t="s">
        <v>468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3:E1000"/>
  <sheetViews>
    <sheetView workbookViewId="0"/>
  </sheetViews>
  <sheetFormatPr baseColWidth="10" defaultColWidth="14.5" defaultRowHeight="15" customHeight="1" x14ac:dyDescent="0.2"/>
  <cols>
    <col min="1" max="2" width="8.83203125" customWidth="1"/>
    <col min="3" max="3" width="20.33203125" customWidth="1"/>
    <col min="4" max="4" width="15.6640625" customWidth="1"/>
    <col min="5" max="5" width="17.5" customWidth="1"/>
    <col min="6" max="26" width="8.83203125" customWidth="1"/>
  </cols>
  <sheetData>
    <row r="3" spans="1:5" ht="24" x14ac:dyDescent="0.3">
      <c r="A3" s="1" t="s">
        <v>469</v>
      </c>
    </row>
    <row r="4" spans="1:5" x14ac:dyDescent="0.2">
      <c r="A4" s="7" t="s">
        <v>470</v>
      </c>
      <c r="B4" s="7" t="s">
        <v>426</v>
      </c>
      <c r="C4" s="7" t="s">
        <v>471</v>
      </c>
      <c r="D4" s="7" t="s">
        <v>472</v>
      </c>
      <c r="E4" s="7" t="s">
        <v>473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3:E1000"/>
  <sheetViews>
    <sheetView workbookViewId="0">
      <selection activeCell="B13" sqref="B13"/>
    </sheetView>
  </sheetViews>
  <sheetFormatPr baseColWidth="10" defaultColWidth="14.5" defaultRowHeight="15" customHeight="1" x14ac:dyDescent="0.2"/>
  <cols>
    <col min="1" max="1" width="15" customWidth="1"/>
    <col min="2" max="2" width="12" customWidth="1"/>
    <col min="3" max="3" width="20.5" customWidth="1"/>
    <col min="4" max="5" width="14.33203125" customWidth="1"/>
    <col min="6" max="26" width="8.83203125" customWidth="1"/>
  </cols>
  <sheetData>
    <row r="3" spans="1:5" ht="24" x14ac:dyDescent="0.3">
      <c r="A3" s="1" t="s">
        <v>370</v>
      </c>
    </row>
    <row r="4" spans="1:5" x14ac:dyDescent="0.2">
      <c r="A4" s="7" t="s">
        <v>474</v>
      </c>
      <c r="B4" s="7" t="s">
        <v>426</v>
      </c>
      <c r="C4" s="7" t="s">
        <v>471</v>
      </c>
      <c r="D4" s="7" t="s">
        <v>472</v>
      </c>
      <c r="E4" s="7" t="s">
        <v>473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C3:K1000"/>
  <sheetViews>
    <sheetView zoomScale="109" workbookViewId="0"/>
  </sheetViews>
  <sheetFormatPr baseColWidth="10" defaultColWidth="14.5" defaultRowHeight="15" customHeight="1" x14ac:dyDescent="0.2"/>
  <cols>
    <col min="1" max="2" width="10.6640625" customWidth="1"/>
    <col min="3" max="3" width="15.83203125" customWidth="1"/>
    <col min="4" max="4" width="12.33203125" customWidth="1"/>
    <col min="5" max="5" width="10.6640625" customWidth="1"/>
    <col min="6" max="6" width="12" customWidth="1"/>
    <col min="7" max="7" width="20.1640625" customWidth="1"/>
    <col min="8" max="8" width="13.1640625" customWidth="1"/>
    <col min="9" max="26" width="10.6640625" customWidth="1"/>
  </cols>
  <sheetData>
    <row r="3" spans="3:8" x14ac:dyDescent="0.2">
      <c r="C3" s="39" t="s">
        <v>342</v>
      </c>
      <c r="D3" s="40" t="s">
        <v>343</v>
      </c>
      <c r="G3" s="41" t="s">
        <v>344</v>
      </c>
    </row>
    <row r="4" spans="3:8" x14ac:dyDescent="0.2">
      <c r="C4" s="39" t="s">
        <v>345</v>
      </c>
      <c r="D4" s="42">
        <f>+D5+D13</f>
        <v>193497.492</v>
      </c>
      <c r="G4" s="41" t="s">
        <v>346</v>
      </c>
    </row>
    <row r="5" spans="3:8" x14ac:dyDescent="0.2">
      <c r="C5" s="39" t="s">
        <v>347</v>
      </c>
      <c r="D5" s="42">
        <f>+D6+D10+D11+D12</f>
        <v>170803.652</v>
      </c>
      <c r="G5" s="41" t="s">
        <v>348</v>
      </c>
    </row>
    <row r="6" spans="3:8" x14ac:dyDescent="0.2">
      <c r="C6" s="39" t="s">
        <v>349</v>
      </c>
      <c r="D6" s="42">
        <f>+D7+D8</f>
        <v>1391.01</v>
      </c>
      <c r="G6" s="41" t="s">
        <v>350</v>
      </c>
    </row>
    <row r="7" spans="3:8" x14ac:dyDescent="0.2">
      <c r="C7" s="39" t="s">
        <v>351</v>
      </c>
      <c r="D7" s="42">
        <v>232</v>
      </c>
    </row>
    <row r="8" spans="3:8" x14ac:dyDescent="0.2">
      <c r="C8" s="39" t="s">
        <v>352</v>
      </c>
      <c r="D8" s="42">
        <v>1159.01</v>
      </c>
      <c r="F8" s="43" t="s">
        <v>353</v>
      </c>
    </row>
    <row r="9" spans="3:8" x14ac:dyDescent="0.2">
      <c r="C9" s="39" t="s">
        <v>354</v>
      </c>
      <c r="D9" s="42"/>
      <c r="F9" s="43" t="s">
        <v>355</v>
      </c>
      <c r="H9" s="5">
        <f>+D6+D10+D11+D12</f>
        <v>170803.652</v>
      </c>
    </row>
    <row r="10" spans="3:8" x14ac:dyDescent="0.2">
      <c r="C10" s="39" t="s">
        <v>354</v>
      </c>
      <c r="D10" s="42">
        <v>7448</v>
      </c>
      <c r="G10" s="39" t="s">
        <v>349</v>
      </c>
      <c r="H10" s="5">
        <f>+H11+H12</f>
        <v>1391.01</v>
      </c>
    </row>
    <row r="11" spans="3:8" x14ac:dyDescent="0.2">
      <c r="C11" s="39" t="s">
        <v>354</v>
      </c>
      <c r="D11" s="42">
        <v>3132</v>
      </c>
      <c r="G11" s="39" t="s">
        <v>356</v>
      </c>
      <c r="H11" s="5">
        <v>232</v>
      </c>
    </row>
    <row r="12" spans="3:8" x14ac:dyDescent="0.2">
      <c r="C12" s="39" t="s">
        <v>357</v>
      </c>
      <c r="D12" s="42">
        <f>109991.642+(97682/2)</f>
        <v>158832.64199999999</v>
      </c>
      <c r="G12" s="39" t="s">
        <v>358</v>
      </c>
      <c r="H12" s="5">
        <v>1159.01</v>
      </c>
    </row>
    <row r="13" spans="3:8" x14ac:dyDescent="0.2">
      <c r="C13" s="39" t="s">
        <v>359</v>
      </c>
      <c r="D13" s="42">
        <v>22693.84</v>
      </c>
      <c r="G13" s="39" t="s">
        <v>354</v>
      </c>
      <c r="H13" s="5"/>
    </row>
    <row r="14" spans="3:8" x14ac:dyDescent="0.2">
      <c r="C14" s="39" t="s">
        <v>360</v>
      </c>
      <c r="D14" s="42">
        <f>+D15+D16</f>
        <v>50000</v>
      </c>
      <c r="G14" s="39" t="s">
        <v>354</v>
      </c>
      <c r="H14" s="5">
        <v>7448</v>
      </c>
    </row>
    <row r="15" spans="3:8" x14ac:dyDescent="0.2">
      <c r="C15" s="39" t="s">
        <v>361</v>
      </c>
      <c r="D15" s="42">
        <v>50000</v>
      </c>
      <c r="G15" s="39" t="s">
        <v>354</v>
      </c>
      <c r="H15" s="5">
        <v>3132</v>
      </c>
    </row>
    <row r="16" spans="3:8" x14ac:dyDescent="0.2">
      <c r="C16" s="39" t="s">
        <v>362</v>
      </c>
      <c r="D16" s="42">
        <v>0</v>
      </c>
      <c r="G16" s="39" t="s">
        <v>34</v>
      </c>
      <c r="H16" s="5">
        <f>109991.642+(97682/2)</f>
        <v>158832.64199999999</v>
      </c>
    </row>
    <row r="17" spans="3:11" x14ac:dyDescent="0.2">
      <c r="C17" s="39" t="s">
        <v>363</v>
      </c>
      <c r="D17" s="42">
        <v>143497.48199999999</v>
      </c>
      <c r="F17" s="44" t="s">
        <v>364</v>
      </c>
      <c r="G17" s="44"/>
      <c r="H17" s="5"/>
    </row>
    <row r="18" spans="3:11" x14ac:dyDescent="0.2">
      <c r="D18" s="42"/>
      <c r="G18" s="39" t="s">
        <v>365</v>
      </c>
      <c r="H18" s="5">
        <v>22693.84</v>
      </c>
    </row>
    <row r="19" spans="3:11" x14ac:dyDescent="0.2">
      <c r="D19" s="42"/>
      <c r="F19" s="44" t="s">
        <v>366</v>
      </c>
      <c r="G19" s="44"/>
      <c r="H19" s="5">
        <f>H9</f>
        <v>170803.652</v>
      </c>
    </row>
    <row r="20" spans="3:11" x14ac:dyDescent="0.2">
      <c r="C20" s="39" t="s">
        <v>367</v>
      </c>
      <c r="F20" s="44" t="s">
        <v>368</v>
      </c>
      <c r="G20" s="44"/>
      <c r="H20" s="5">
        <f>SUM(H10+H14+H15+H16+H18)</f>
        <v>193497.492</v>
      </c>
    </row>
    <row r="21" spans="3:11" ht="15.75" customHeight="1" x14ac:dyDescent="0.2">
      <c r="F21" s="44"/>
      <c r="G21" s="44"/>
      <c r="H21" s="5"/>
    </row>
    <row r="22" spans="3:11" ht="15.75" customHeight="1" x14ac:dyDescent="0.2">
      <c r="F22" s="44" t="s">
        <v>369</v>
      </c>
      <c r="G22" s="44"/>
      <c r="H22" s="5"/>
    </row>
    <row r="23" spans="3:11" ht="15.75" customHeight="1" x14ac:dyDescent="0.2">
      <c r="E23" s="42"/>
      <c r="F23" s="44" t="s">
        <v>370</v>
      </c>
      <c r="H23" s="5"/>
    </row>
    <row r="24" spans="3:11" ht="15.75" customHeight="1" x14ac:dyDescent="0.2">
      <c r="G24" s="39" t="s">
        <v>371</v>
      </c>
      <c r="H24" s="5">
        <v>50000</v>
      </c>
    </row>
    <row r="25" spans="3:11" ht="15.75" customHeight="1" x14ac:dyDescent="0.2">
      <c r="G25" s="39" t="s">
        <v>372</v>
      </c>
      <c r="H25" s="5">
        <v>0</v>
      </c>
    </row>
    <row r="26" spans="3:11" ht="15.75" customHeight="1" x14ac:dyDescent="0.2">
      <c r="F26" s="44" t="s">
        <v>373</v>
      </c>
      <c r="H26" s="5">
        <f>SUM(H24:H25)</f>
        <v>50000</v>
      </c>
    </row>
    <row r="27" spans="3:11" ht="15.75" customHeight="1" x14ac:dyDescent="0.2">
      <c r="H27" s="5"/>
      <c r="J27" s="39" t="s">
        <v>537</v>
      </c>
    </row>
    <row r="28" spans="3:11" ht="15.75" customHeight="1" x14ac:dyDescent="0.2">
      <c r="F28" s="44" t="s">
        <v>374</v>
      </c>
      <c r="H28" s="5">
        <v>143497.48199999999</v>
      </c>
      <c r="J28">
        <v>150</v>
      </c>
      <c r="K28">
        <v>200</v>
      </c>
    </row>
    <row r="29" spans="3:11" ht="15.75" customHeight="1" x14ac:dyDescent="0.2"/>
    <row r="30" spans="3:11" ht="15.75" customHeight="1" x14ac:dyDescent="0.2"/>
    <row r="31" spans="3:11" ht="15.75" customHeight="1" x14ac:dyDescent="0.2"/>
    <row r="32" spans="3:11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G1006"/>
  <sheetViews>
    <sheetView zoomScale="94" workbookViewId="0">
      <selection activeCell="C19" sqref="C19"/>
    </sheetView>
  </sheetViews>
  <sheetFormatPr baseColWidth="10" defaultColWidth="14.5" defaultRowHeight="15" customHeight="1" x14ac:dyDescent="0.2"/>
  <cols>
    <col min="1" max="1" width="26" customWidth="1"/>
    <col min="2" max="2" width="36.5" customWidth="1"/>
    <col min="3" max="3" width="14" customWidth="1"/>
    <col min="4" max="4" width="16.1640625" customWidth="1"/>
    <col min="5" max="5" width="15" customWidth="1"/>
    <col min="6" max="6" width="16.6640625" customWidth="1"/>
    <col min="7" max="26" width="8.83203125" customWidth="1"/>
  </cols>
  <sheetData>
    <row r="3" spans="1:7" ht="24" x14ac:dyDescent="0.3">
      <c r="A3" s="1" t="s">
        <v>377</v>
      </c>
    </row>
    <row r="4" spans="1:7" ht="24" x14ac:dyDescent="0.3">
      <c r="A4" s="1"/>
      <c r="D4" s="125" t="s">
        <v>378</v>
      </c>
      <c r="E4" s="126" t="s">
        <v>379</v>
      </c>
      <c r="F4" s="122"/>
    </row>
    <row r="5" spans="1:7" x14ac:dyDescent="0.2">
      <c r="A5" s="2" t="s">
        <v>1</v>
      </c>
      <c r="B5" s="2" t="s">
        <v>2</v>
      </c>
      <c r="C5" s="2" t="s">
        <v>3</v>
      </c>
      <c r="D5" s="127" t="s">
        <v>380</v>
      </c>
      <c r="E5" s="126" t="s">
        <v>380</v>
      </c>
      <c r="F5" s="122"/>
    </row>
    <row r="6" spans="1:7" x14ac:dyDescent="0.2">
      <c r="A6" s="3" t="s">
        <v>19</v>
      </c>
      <c r="B6" s="3" t="s">
        <v>20</v>
      </c>
      <c r="C6" s="4">
        <v>3132</v>
      </c>
      <c r="D6" s="87"/>
      <c r="E6" s="129">
        <f t="shared" ref="E6:E17" si="0">C6*12</f>
        <v>37584</v>
      </c>
      <c r="F6" s="123"/>
    </row>
    <row r="7" spans="1:7" x14ac:dyDescent="0.2">
      <c r="A7" s="3" t="s">
        <v>21</v>
      </c>
      <c r="B7" s="3"/>
      <c r="C7" s="4">
        <f>2500+450</f>
        <v>2950</v>
      </c>
      <c r="D7" s="10"/>
      <c r="E7" s="129">
        <f t="shared" si="0"/>
        <v>35400</v>
      </c>
      <c r="F7" s="123"/>
    </row>
    <row r="8" spans="1:7" x14ac:dyDescent="0.2">
      <c r="A8" s="3" t="s">
        <v>22</v>
      </c>
      <c r="B8" s="3" t="s">
        <v>23</v>
      </c>
      <c r="C8" s="4">
        <v>15</v>
      </c>
      <c r="D8" s="10"/>
      <c r="E8" s="129">
        <f t="shared" si="0"/>
        <v>180</v>
      </c>
      <c r="F8" s="123"/>
    </row>
    <row r="9" spans="1:7" x14ac:dyDescent="0.2">
      <c r="A9" s="3" t="s">
        <v>22</v>
      </c>
      <c r="B9" s="3" t="s">
        <v>24</v>
      </c>
      <c r="C9" s="4">
        <v>220</v>
      </c>
      <c r="D9" s="10"/>
      <c r="E9" s="129">
        <f t="shared" si="0"/>
        <v>2640</v>
      </c>
      <c r="F9" s="123"/>
    </row>
    <row r="10" spans="1:7" x14ac:dyDescent="0.2">
      <c r="A10" s="3" t="s">
        <v>22</v>
      </c>
      <c r="B10" s="3" t="s">
        <v>25</v>
      </c>
      <c r="C10" s="4">
        <v>179</v>
      </c>
      <c r="D10" s="10"/>
      <c r="E10" s="129">
        <f t="shared" si="0"/>
        <v>2148</v>
      </c>
      <c r="F10" s="123"/>
    </row>
    <row r="11" spans="1:7" x14ac:dyDescent="0.2">
      <c r="A11" s="65" t="s">
        <v>22</v>
      </c>
      <c r="B11" s="3" t="s">
        <v>26</v>
      </c>
      <c r="C11" s="4">
        <v>20</v>
      </c>
      <c r="D11" s="10"/>
      <c r="E11" s="129">
        <f t="shared" si="0"/>
        <v>240</v>
      </c>
      <c r="F11" s="123"/>
    </row>
    <row r="12" spans="1:7" x14ac:dyDescent="0.2">
      <c r="A12" s="3" t="s">
        <v>22</v>
      </c>
      <c r="B12" s="3" t="s">
        <v>27</v>
      </c>
      <c r="C12" s="4">
        <v>200</v>
      </c>
      <c r="D12" s="10"/>
      <c r="E12" s="129">
        <f t="shared" si="0"/>
        <v>2400</v>
      </c>
      <c r="F12" s="123"/>
    </row>
    <row r="13" spans="1:7" x14ac:dyDescent="0.2">
      <c r="A13" s="3" t="s">
        <v>28</v>
      </c>
      <c r="B13" s="3" t="s">
        <v>28</v>
      </c>
      <c r="C13" s="4">
        <v>221.67</v>
      </c>
      <c r="D13" s="10"/>
      <c r="E13" s="129">
        <f t="shared" si="0"/>
        <v>2660.04</v>
      </c>
      <c r="F13" s="123"/>
    </row>
    <row r="14" spans="1:7" x14ac:dyDescent="0.2">
      <c r="A14" s="3" t="s">
        <v>30</v>
      </c>
      <c r="B14" s="3" t="s">
        <v>31</v>
      </c>
      <c r="C14" s="4">
        <v>2000</v>
      </c>
      <c r="D14" s="10"/>
      <c r="E14" s="129">
        <f t="shared" si="0"/>
        <v>24000</v>
      </c>
      <c r="F14" s="123"/>
      <c r="G14">
        <v>1500</v>
      </c>
    </row>
    <row r="15" spans="1:7" x14ac:dyDescent="0.2">
      <c r="A15" s="3" t="s">
        <v>11</v>
      </c>
      <c r="B15" s="3" t="s">
        <v>12</v>
      </c>
      <c r="C15" s="4">
        <v>400</v>
      </c>
      <c r="D15" s="10"/>
      <c r="E15" s="129">
        <f t="shared" si="0"/>
        <v>4800</v>
      </c>
      <c r="F15" s="123"/>
    </row>
    <row r="16" spans="1:7" x14ac:dyDescent="0.2">
      <c r="A16" s="3" t="s">
        <v>356</v>
      </c>
      <c r="B16" s="3" t="s">
        <v>356</v>
      </c>
      <c r="C16" s="4">
        <v>300</v>
      </c>
      <c r="D16" s="10"/>
      <c r="E16" s="129">
        <f t="shared" si="0"/>
        <v>3600</v>
      </c>
      <c r="F16" s="123"/>
    </row>
    <row r="17" spans="1:6" x14ac:dyDescent="0.2">
      <c r="A17" s="3" t="s">
        <v>32</v>
      </c>
      <c r="B17" s="3" t="s">
        <v>529</v>
      </c>
      <c r="C17" s="111">
        <v>140</v>
      </c>
      <c r="D17" s="128"/>
      <c r="E17" s="130">
        <f t="shared" si="0"/>
        <v>1680</v>
      </c>
      <c r="F17" s="123"/>
    </row>
    <row r="18" spans="1:6" x14ac:dyDescent="0.2">
      <c r="C18" s="5"/>
      <c r="D18" s="124"/>
      <c r="E18" s="123"/>
      <c r="F18" s="123"/>
    </row>
    <row r="19" spans="1:6" ht="15" customHeight="1" x14ac:dyDescent="0.2">
      <c r="B19" s="6" t="s">
        <v>18</v>
      </c>
      <c r="C19" s="112">
        <f>SUM(C6:C17)</f>
        <v>9777.67</v>
      </c>
      <c r="E19" s="131">
        <f>C19*12</f>
        <v>117332.04000000001</v>
      </c>
    </row>
    <row r="20" spans="1:6" ht="15" customHeight="1" x14ac:dyDescent="0.2">
      <c r="B20" s="113"/>
      <c r="C20" s="114"/>
    </row>
    <row r="21" spans="1:6" x14ac:dyDescent="0.2">
      <c r="A21" s="46" t="s">
        <v>375</v>
      </c>
      <c r="B21" s="46" t="s">
        <v>2</v>
      </c>
      <c r="C21" s="46" t="s">
        <v>378</v>
      </c>
      <c r="D21" s="46" t="s">
        <v>379</v>
      </c>
    </row>
    <row r="22" spans="1:6" x14ac:dyDescent="0.2">
      <c r="A22" s="9" t="s">
        <v>381</v>
      </c>
      <c r="B22" s="9" t="s">
        <v>382</v>
      </c>
      <c r="C22" s="9"/>
      <c r="D22" s="9"/>
    </row>
    <row r="23" spans="1:6" x14ac:dyDescent="0.2">
      <c r="A23" s="9" t="s">
        <v>381</v>
      </c>
      <c r="B23" s="9" t="s">
        <v>383</v>
      </c>
      <c r="C23" s="9"/>
      <c r="D23" s="9"/>
    </row>
    <row r="24" spans="1:6" x14ac:dyDescent="0.2">
      <c r="A24" s="35" t="s">
        <v>381</v>
      </c>
      <c r="B24" s="35" t="s">
        <v>18</v>
      </c>
      <c r="C24" s="35"/>
      <c r="D24" s="35"/>
    </row>
    <row r="25" spans="1:6" x14ac:dyDescent="0.2">
      <c r="A25" s="26"/>
      <c r="B25" s="26"/>
      <c r="C25" s="26"/>
      <c r="D25" s="26"/>
    </row>
    <row r="26" spans="1:6" x14ac:dyDescent="0.2">
      <c r="A26" s="46" t="s">
        <v>375</v>
      </c>
      <c r="B26" s="46" t="s">
        <v>2</v>
      </c>
      <c r="C26" s="46" t="s">
        <v>378</v>
      </c>
      <c r="D26" s="46" t="s">
        <v>379</v>
      </c>
    </row>
    <row r="27" spans="1:6" x14ac:dyDescent="0.2">
      <c r="A27" s="9" t="s">
        <v>381</v>
      </c>
      <c r="B27" s="9" t="s">
        <v>6</v>
      </c>
      <c r="C27" s="9"/>
      <c r="D27" s="9"/>
    </row>
    <row r="28" spans="1:6" x14ac:dyDescent="0.2">
      <c r="A28" s="9" t="s">
        <v>381</v>
      </c>
      <c r="B28" s="9" t="s">
        <v>384</v>
      </c>
      <c r="C28" s="9"/>
      <c r="D28" s="9"/>
    </row>
    <row r="29" spans="1:6" ht="15.75" customHeight="1" x14ac:dyDescent="0.2">
      <c r="A29" s="9" t="s">
        <v>381</v>
      </c>
      <c r="B29" s="9" t="s">
        <v>385</v>
      </c>
      <c r="C29" s="9"/>
      <c r="D29" s="9"/>
      <c r="E29" s="115"/>
    </row>
    <row r="30" spans="1:6" ht="15.75" customHeight="1" x14ac:dyDescent="0.2">
      <c r="A30" s="35" t="s">
        <v>381</v>
      </c>
      <c r="B30" s="35" t="s">
        <v>18</v>
      </c>
      <c r="C30" s="35"/>
      <c r="D30" s="35"/>
    </row>
    <row r="31" spans="1:6" ht="15.75" customHeight="1" x14ac:dyDescent="0.2"/>
    <row r="32" spans="1:6" ht="15.75" customHeight="1" x14ac:dyDescent="0.2">
      <c r="A32" s="46" t="s">
        <v>375</v>
      </c>
      <c r="B32" s="46" t="s">
        <v>2</v>
      </c>
      <c r="C32" s="46" t="s">
        <v>378</v>
      </c>
      <c r="D32" s="47" t="s">
        <v>379</v>
      </c>
      <c r="E32" s="115"/>
    </row>
    <row r="33" spans="1:7" ht="15.75" customHeight="1" x14ac:dyDescent="0.2">
      <c r="A33" s="9" t="s">
        <v>29</v>
      </c>
      <c r="B33" s="9" t="s">
        <v>386</v>
      </c>
      <c r="C33" s="9"/>
      <c r="D33" s="46"/>
    </row>
    <row r="34" spans="1:7" ht="15.75" customHeight="1" x14ac:dyDescent="0.2">
      <c r="A34" s="9" t="s">
        <v>29</v>
      </c>
      <c r="B34" s="9" t="s">
        <v>387</v>
      </c>
      <c r="C34" s="9"/>
      <c r="D34" s="9"/>
    </row>
    <row r="35" spans="1:7" ht="15.75" customHeight="1" x14ac:dyDescent="0.2">
      <c r="A35" s="35" t="s">
        <v>29</v>
      </c>
      <c r="B35" s="35" t="s">
        <v>18</v>
      </c>
      <c r="C35" s="35"/>
      <c r="D35" s="35"/>
    </row>
    <row r="36" spans="1:7" ht="15.75" customHeight="1" x14ac:dyDescent="0.2"/>
    <row r="37" spans="1:7" ht="15.75" customHeight="1" x14ac:dyDescent="0.2">
      <c r="A37" s="46" t="s">
        <v>375</v>
      </c>
      <c r="B37" s="46" t="s">
        <v>2</v>
      </c>
      <c r="C37" s="46" t="s">
        <v>378</v>
      </c>
      <c r="D37" s="46" t="s">
        <v>379</v>
      </c>
    </row>
    <row r="38" spans="1:7" ht="15.75" customHeight="1" x14ac:dyDescent="0.2">
      <c r="A38" s="9" t="s">
        <v>376</v>
      </c>
      <c r="B38" s="9" t="s">
        <v>388</v>
      </c>
      <c r="C38" s="48">
        <v>9993</v>
      </c>
      <c r="D38" s="49">
        <f>C38*6.96</f>
        <v>69551.28</v>
      </c>
    </row>
    <row r="39" spans="1:7" ht="15.75" customHeight="1" x14ac:dyDescent="0.2">
      <c r="A39" s="9" t="s">
        <v>376</v>
      </c>
      <c r="B39" s="9" t="s">
        <v>389</v>
      </c>
      <c r="C39" s="48">
        <v>5370</v>
      </c>
      <c r="D39" s="49">
        <v>37374</v>
      </c>
    </row>
    <row r="40" spans="1:7" ht="15.75" customHeight="1" x14ac:dyDescent="0.2">
      <c r="A40" s="9" t="s">
        <v>376</v>
      </c>
      <c r="B40" s="9" t="s">
        <v>390</v>
      </c>
      <c r="C40" s="48">
        <f>SUM(C38:C39)</f>
        <v>15363</v>
      </c>
      <c r="D40" s="49">
        <f>+C40*6.96</f>
        <v>106926.48</v>
      </c>
    </row>
    <row r="41" spans="1:7" ht="15.75" customHeight="1" x14ac:dyDescent="0.2">
      <c r="A41" s="9" t="s">
        <v>376</v>
      </c>
      <c r="B41" s="9" t="s">
        <v>391</v>
      </c>
      <c r="C41" s="48">
        <v>2306</v>
      </c>
      <c r="D41" s="49">
        <v>16050</v>
      </c>
    </row>
    <row r="42" spans="1:7" ht="15.75" customHeight="1" x14ac:dyDescent="0.2">
      <c r="A42" s="8" t="s">
        <v>376</v>
      </c>
      <c r="B42" s="8" t="s">
        <v>392</v>
      </c>
      <c r="C42" s="50">
        <f>SUM(C40+C41)</f>
        <v>17669</v>
      </c>
      <c r="D42" s="51">
        <f>SUM(D40:D41)</f>
        <v>122976.48</v>
      </c>
    </row>
    <row r="43" spans="1:7" ht="15.75" customHeight="1" x14ac:dyDescent="0.2">
      <c r="A43" s="9" t="s">
        <v>376</v>
      </c>
      <c r="B43" s="9" t="s">
        <v>393</v>
      </c>
      <c r="C43" s="52"/>
      <c r="D43" s="49">
        <v>1200</v>
      </c>
    </row>
    <row r="44" spans="1:7" ht="15.75" customHeight="1" x14ac:dyDescent="0.2">
      <c r="A44" s="9" t="s">
        <v>376</v>
      </c>
      <c r="B44" s="53" t="s">
        <v>394</v>
      </c>
      <c r="C44" s="52"/>
      <c r="D44" s="49">
        <v>6149</v>
      </c>
    </row>
    <row r="45" spans="1:7" ht="15.75" customHeight="1" x14ac:dyDescent="0.2">
      <c r="A45" s="9" t="s">
        <v>376</v>
      </c>
      <c r="B45" s="53" t="s">
        <v>395</v>
      </c>
      <c r="C45" s="52"/>
      <c r="D45" s="49">
        <v>1230</v>
      </c>
    </row>
    <row r="46" spans="1:7" ht="15.75" customHeight="1" x14ac:dyDescent="0.2">
      <c r="A46" s="9" t="s">
        <v>376</v>
      </c>
      <c r="B46" s="53" t="s">
        <v>396</v>
      </c>
      <c r="C46" s="52"/>
      <c r="D46" s="49">
        <v>820</v>
      </c>
    </row>
    <row r="47" spans="1:7" ht="15.75" customHeight="1" x14ac:dyDescent="0.2">
      <c r="A47" s="9" t="s">
        <v>376</v>
      </c>
      <c r="B47" s="53" t="s">
        <v>397</v>
      </c>
      <c r="C47" s="52"/>
      <c r="D47" s="49">
        <v>1340</v>
      </c>
      <c r="F47" s="27" t="s">
        <v>398</v>
      </c>
      <c r="G47" s="27"/>
    </row>
    <row r="48" spans="1:7" ht="15.75" customHeight="1" x14ac:dyDescent="0.2">
      <c r="A48" s="9" t="s">
        <v>376</v>
      </c>
      <c r="B48" s="53" t="s">
        <v>399</v>
      </c>
      <c r="C48" s="52"/>
      <c r="D48" s="49">
        <v>369</v>
      </c>
      <c r="F48" s="54">
        <f>D42*0.1494</f>
        <v>18372.686111999999</v>
      </c>
      <c r="G48" s="55"/>
    </row>
    <row r="49" spans="1:7" ht="15.75" customHeight="1" x14ac:dyDescent="0.2">
      <c r="A49" s="9" t="s">
        <v>376</v>
      </c>
      <c r="B49" s="53" t="s">
        <v>400</v>
      </c>
      <c r="C49" s="52"/>
      <c r="D49" s="49">
        <v>1500</v>
      </c>
      <c r="F49" s="27" t="s">
        <v>401</v>
      </c>
      <c r="G49" s="27"/>
    </row>
    <row r="50" spans="1:7" ht="15.75" customHeight="1" x14ac:dyDescent="0.2">
      <c r="A50" s="35" t="s">
        <v>376</v>
      </c>
      <c r="B50" s="35" t="s">
        <v>18</v>
      </c>
      <c r="C50" s="56"/>
      <c r="D50" s="57">
        <f>SUM(D42:D49)</f>
        <v>135584.47999999998</v>
      </c>
      <c r="F50" s="54">
        <f>SUM(+D50+D67)</f>
        <v>136418.63999999998</v>
      </c>
      <c r="G50" s="55"/>
    </row>
    <row r="51" spans="1:7" ht="15.75" customHeight="1" x14ac:dyDescent="0.2"/>
    <row r="52" spans="1:7" ht="15.75" customHeight="1" x14ac:dyDescent="0.2">
      <c r="A52" s="46" t="s">
        <v>375</v>
      </c>
      <c r="B52" s="46" t="s">
        <v>2</v>
      </c>
      <c r="C52" s="46" t="s">
        <v>378</v>
      </c>
      <c r="D52" s="46" t="s">
        <v>379</v>
      </c>
    </row>
    <row r="53" spans="1:7" ht="15.75" customHeight="1" x14ac:dyDescent="0.2">
      <c r="A53" s="9" t="s">
        <v>402</v>
      </c>
      <c r="B53" s="116" t="s">
        <v>403</v>
      </c>
      <c r="C53" s="9"/>
      <c r="D53" s="9"/>
      <c r="E53" s="39" t="s">
        <v>535</v>
      </c>
    </row>
    <row r="54" spans="1:7" ht="15.75" customHeight="1" x14ac:dyDescent="0.2">
      <c r="A54" s="35" t="s">
        <v>402</v>
      </c>
      <c r="B54" s="35" t="s">
        <v>18</v>
      </c>
      <c r="C54" s="35"/>
      <c r="D54" s="35"/>
    </row>
    <row r="55" spans="1:7" ht="15.75" customHeight="1" x14ac:dyDescent="0.2"/>
    <row r="56" spans="1:7" ht="15.75" customHeight="1" x14ac:dyDescent="0.2">
      <c r="A56" s="46" t="s">
        <v>375</v>
      </c>
      <c r="B56" s="46" t="s">
        <v>2</v>
      </c>
      <c r="C56" s="46" t="s">
        <v>378</v>
      </c>
      <c r="D56" s="46" t="s">
        <v>379</v>
      </c>
    </row>
    <row r="57" spans="1:7" ht="15.75" customHeight="1" x14ac:dyDescent="0.2">
      <c r="A57" s="9" t="s">
        <v>404</v>
      </c>
      <c r="B57" s="9" t="s">
        <v>405</v>
      </c>
      <c r="C57" s="9"/>
      <c r="D57" s="49">
        <v>50000</v>
      </c>
    </row>
    <row r="58" spans="1:7" ht="15.75" customHeight="1" x14ac:dyDescent="0.2">
      <c r="A58" s="35" t="s">
        <v>404</v>
      </c>
      <c r="B58" s="35" t="s">
        <v>18</v>
      </c>
      <c r="C58" s="35"/>
      <c r="D58" s="57">
        <v>50000</v>
      </c>
    </row>
    <row r="59" spans="1:7" ht="15.75" customHeight="1" x14ac:dyDescent="0.2"/>
    <row r="60" spans="1:7" ht="15.75" customHeight="1" x14ac:dyDescent="0.2">
      <c r="A60" s="46" t="s">
        <v>375</v>
      </c>
      <c r="B60" s="46" t="s">
        <v>2</v>
      </c>
      <c r="C60" s="46" t="s">
        <v>378</v>
      </c>
      <c r="D60" s="46" t="s">
        <v>379</v>
      </c>
      <c r="E60" s="117" t="s">
        <v>536</v>
      </c>
    </row>
    <row r="61" spans="1:7" ht="15.75" customHeight="1" x14ac:dyDescent="0.2">
      <c r="A61" s="9" t="s">
        <v>406</v>
      </c>
      <c r="B61" s="9" t="s">
        <v>532</v>
      </c>
      <c r="C61" s="9"/>
      <c r="D61" s="49">
        <v>2000</v>
      </c>
    </row>
    <row r="62" spans="1:7" ht="15.75" customHeight="1" x14ac:dyDescent="0.2">
      <c r="A62" s="9" t="s">
        <v>406</v>
      </c>
      <c r="B62" s="9" t="s">
        <v>407</v>
      </c>
      <c r="C62" s="9"/>
      <c r="D62" s="49">
        <v>1000</v>
      </c>
    </row>
    <row r="63" spans="1:7" ht="15.75" customHeight="1" x14ac:dyDescent="0.2">
      <c r="A63" s="9" t="s">
        <v>406</v>
      </c>
      <c r="B63" s="9" t="s">
        <v>408</v>
      </c>
      <c r="C63" s="9"/>
      <c r="D63" s="49">
        <v>1000</v>
      </c>
    </row>
    <row r="64" spans="1:7" ht="15.75" customHeight="1" x14ac:dyDescent="0.2">
      <c r="A64" s="35" t="s">
        <v>406</v>
      </c>
      <c r="B64" s="35" t="s">
        <v>18</v>
      </c>
      <c r="C64" s="35"/>
      <c r="D64" s="57">
        <f>SUM(D61:D63)</f>
        <v>4000</v>
      </c>
    </row>
    <row r="65" spans="1:5" ht="15.75" customHeight="1" x14ac:dyDescent="0.2"/>
    <row r="66" spans="1:5" ht="15.75" customHeight="1" x14ac:dyDescent="0.2">
      <c r="A66" s="46" t="s">
        <v>375</v>
      </c>
      <c r="B66" s="46" t="s">
        <v>2</v>
      </c>
      <c r="C66" s="46" t="s">
        <v>378</v>
      </c>
      <c r="D66" s="46" t="s">
        <v>379</v>
      </c>
    </row>
    <row r="67" spans="1:5" ht="15.75" customHeight="1" x14ac:dyDescent="0.2">
      <c r="A67" s="58" t="s">
        <v>409</v>
      </c>
      <c r="B67" s="58" t="s">
        <v>410</v>
      </c>
      <c r="C67" s="58"/>
      <c r="D67" s="59">
        <v>834.16</v>
      </c>
    </row>
    <row r="68" spans="1:5" ht="15.75" customHeight="1" x14ac:dyDescent="0.2">
      <c r="A68" s="9" t="s">
        <v>409</v>
      </c>
      <c r="B68" s="60" t="s">
        <v>33</v>
      </c>
      <c r="C68" s="9"/>
      <c r="D68" s="49">
        <v>300.77999999999997</v>
      </c>
    </row>
    <row r="69" spans="1:5" ht="15.75" customHeight="1" x14ac:dyDescent="0.2">
      <c r="A69" s="35" t="s">
        <v>409</v>
      </c>
      <c r="B69" s="35" t="s">
        <v>18</v>
      </c>
      <c r="C69" s="35"/>
      <c r="D69" s="57">
        <f>SUM(D67:D68)</f>
        <v>1134.94</v>
      </c>
    </row>
    <row r="70" spans="1:5" ht="15.75" customHeight="1" x14ac:dyDescent="0.2"/>
    <row r="71" spans="1:5" ht="15.75" customHeight="1" x14ac:dyDescent="0.2">
      <c r="A71" s="46" t="s">
        <v>375</v>
      </c>
      <c r="B71" s="46" t="s">
        <v>2</v>
      </c>
      <c r="C71" s="46" t="s">
        <v>378</v>
      </c>
      <c r="D71" s="46" t="s">
        <v>379</v>
      </c>
      <c r="E71" s="117" t="s">
        <v>538</v>
      </c>
    </row>
    <row r="72" spans="1:5" ht="15.75" customHeight="1" x14ac:dyDescent="0.2">
      <c r="A72" s="9" t="s">
        <v>411</v>
      </c>
      <c r="B72" s="9" t="s">
        <v>412</v>
      </c>
      <c r="C72" s="48"/>
      <c r="D72" s="10">
        <v>1000</v>
      </c>
      <c r="E72" s="39"/>
    </row>
    <row r="73" spans="1:5" ht="15.75" customHeight="1" x14ac:dyDescent="0.2">
      <c r="A73" s="35" t="s">
        <v>411</v>
      </c>
      <c r="B73" s="35" t="s">
        <v>18</v>
      </c>
      <c r="C73" s="35"/>
      <c r="D73" s="11">
        <f>D72</f>
        <v>1000</v>
      </c>
    </row>
    <row r="74" spans="1:5" ht="15.75" customHeight="1" x14ac:dyDescent="0.2"/>
    <row r="75" spans="1:5" ht="15.75" customHeight="1" x14ac:dyDescent="0.2">
      <c r="A75" s="46" t="s">
        <v>375</v>
      </c>
      <c r="B75" s="46" t="s">
        <v>2</v>
      </c>
      <c r="C75" s="46" t="s">
        <v>378</v>
      </c>
      <c r="D75" s="46" t="s">
        <v>379</v>
      </c>
    </row>
    <row r="76" spans="1:5" ht="15.75" customHeight="1" x14ac:dyDescent="0.2">
      <c r="A76" s="9" t="s">
        <v>413</v>
      </c>
      <c r="B76" s="9" t="s">
        <v>414</v>
      </c>
      <c r="C76" s="9"/>
      <c r="D76" s="49">
        <f>SUM(D30+D18)*3</f>
        <v>0</v>
      </c>
      <c r="E76" s="39" t="s">
        <v>539</v>
      </c>
    </row>
    <row r="77" spans="1:5" ht="15.75" customHeight="1" x14ac:dyDescent="0.2">
      <c r="A77" s="35" t="s">
        <v>413</v>
      </c>
      <c r="B77" s="35" t="s">
        <v>18</v>
      </c>
      <c r="C77" s="35"/>
      <c r="D77" s="57">
        <f>D76</f>
        <v>0</v>
      </c>
    </row>
    <row r="78" spans="1:5" ht="15.75" customHeight="1" x14ac:dyDescent="0.2"/>
    <row r="79" spans="1:5" ht="15.75" customHeight="1" x14ac:dyDescent="0.2"/>
    <row r="80" spans="1:5" ht="15.75" customHeight="1" x14ac:dyDescent="0.2">
      <c r="D80" s="6" t="s">
        <v>379</v>
      </c>
    </row>
    <row r="81" spans="1:4" ht="15.75" customHeight="1" x14ac:dyDescent="0.2">
      <c r="B81" s="6" t="s">
        <v>415</v>
      </c>
      <c r="C81" s="6"/>
      <c r="D81" s="6"/>
    </row>
    <row r="82" spans="1:4" ht="15.75" customHeight="1" x14ac:dyDescent="0.2"/>
    <row r="83" spans="1:4" ht="15.75" customHeight="1" x14ac:dyDescent="0.2"/>
    <row r="84" spans="1:4" ht="15.75" customHeight="1" x14ac:dyDescent="0.25">
      <c r="A84" s="45" t="s">
        <v>416</v>
      </c>
      <c r="C84" s="61" t="s">
        <v>417</v>
      </c>
      <c r="D84" s="61" t="s">
        <v>418</v>
      </c>
    </row>
    <row r="85" spans="1:4" ht="15.75" customHeight="1" x14ac:dyDescent="0.2">
      <c r="A85" s="6" t="s">
        <v>419</v>
      </c>
      <c r="B85" s="27"/>
      <c r="C85" s="39" t="e" cm="1">
        <f t="array" aca="1" ref="C85" ca="1">ARRAY_CONSTRAIN(ARRAYFORMULA((Total de costos fijos/Total global)*100), 1, 1)</f>
        <v>#NAME?</v>
      </c>
    </row>
    <row r="86" spans="1:4" ht="15.75" customHeight="1" x14ac:dyDescent="0.2"/>
    <row r="87" spans="1:4" ht="15.75" customHeight="1" x14ac:dyDescent="0.2">
      <c r="A87" s="6" t="s">
        <v>420</v>
      </c>
      <c r="B87" s="27"/>
      <c r="C87" s="39" t="e">
        <f ca="1">ARRAY_CONSTRAIN(ARRAYFORMULA((Total de costos variables/Total global)*100), 1, 1)</f>
        <v>#NAME?</v>
      </c>
    </row>
    <row r="88" spans="1:4" ht="15.75" customHeight="1" x14ac:dyDescent="0.2"/>
    <row r="89" spans="1:4" ht="15.75" customHeight="1" x14ac:dyDescent="0.2">
      <c r="A89" s="6" t="s">
        <v>421</v>
      </c>
      <c r="B89" s="6"/>
      <c r="C89" s="39" t="e">
        <f ca="1">ARRAY_CONSTRAIN(ARRAYFORMULA(ventas Netas-costos variables), 1, 1)</f>
        <v>#NAME?</v>
      </c>
    </row>
    <row r="90" spans="1:4" ht="15.75" customHeight="1" x14ac:dyDescent="0.2"/>
    <row r="91" spans="1:4" ht="15.75" customHeight="1" x14ac:dyDescent="0.2">
      <c r="A91" s="6" t="s">
        <v>422</v>
      </c>
      <c r="B91" s="6"/>
      <c r="C91" s="39" t="e" cm="1">
        <f t="array" aca="1" ref="C91" ca="1">ARRAY_CONSTRAIN(ARRAYFORMULA((Total de gastos de marketing/ventas totales)*100), 1, 1)</f>
        <v>#NAME?</v>
      </c>
    </row>
    <row r="92" spans="1:4" ht="15.75" customHeight="1" x14ac:dyDescent="0.2"/>
    <row r="93" spans="1:4" ht="15.75" customHeight="1" x14ac:dyDescent="0.2">
      <c r="A93" s="6" t="s">
        <v>423</v>
      </c>
      <c r="B93" s="6"/>
      <c r="C93" s="39" t="e">
        <f ca="1">ARRAY_CONSTRAIN(ARRAYFORMULA((costos totales/ventas totales)*100), 1, 1)</f>
        <v>#NAME?</v>
      </c>
    </row>
    <row r="94" spans="1:4" ht="15.75" customHeight="1" x14ac:dyDescent="0.2"/>
    <row r="95" spans="1:4" ht="15.75" customHeight="1" x14ac:dyDescent="0.2">
      <c r="A95" s="121" t="s">
        <v>541</v>
      </c>
      <c r="B95" s="120"/>
    </row>
    <row r="96" spans="1:4" ht="15.75" customHeight="1" x14ac:dyDescent="0.2">
      <c r="A96" s="88"/>
    </row>
    <row r="97" spans="1:2" ht="15.75" customHeight="1" x14ac:dyDescent="0.2">
      <c r="A97" s="121" t="s">
        <v>540</v>
      </c>
      <c r="B97" s="120"/>
    </row>
    <row r="98" spans="1:2" ht="15.75" customHeight="1" x14ac:dyDescent="0.2">
      <c r="A98" s="39" t="s">
        <v>542</v>
      </c>
    </row>
    <row r="99" spans="1:2" ht="15.75" customHeight="1" x14ac:dyDescent="0.2"/>
    <row r="100" spans="1:2" ht="15.75" customHeight="1" x14ac:dyDescent="0.2"/>
    <row r="101" spans="1:2" ht="15.75" customHeight="1" x14ac:dyDescent="0.2"/>
    <row r="102" spans="1:2" ht="15.75" customHeight="1" x14ac:dyDescent="0.2"/>
    <row r="103" spans="1:2" ht="15.75" customHeight="1" x14ac:dyDescent="0.2"/>
    <row r="104" spans="1:2" ht="15.75" customHeight="1" x14ac:dyDescent="0.2"/>
    <row r="105" spans="1:2" ht="15.75" customHeight="1" x14ac:dyDescent="0.2"/>
    <row r="106" spans="1:2" ht="15.75" customHeight="1" x14ac:dyDescent="0.2"/>
    <row r="107" spans="1:2" ht="15.75" customHeight="1" x14ac:dyDescent="0.2"/>
    <row r="108" spans="1:2" ht="15.75" customHeight="1" x14ac:dyDescent="0.2"/>
    <row r="109" spans="1:2" ht="15.75" customHeight="1" x14ac:dyDescent="0.2"/>
    <row r="110" spans="1:2" ht="15.75" customHeight="1" x14ac:dyDescent="0.2"/>
    <row r="111" spans="1:2" ht="15.75" customHeight="1" x14ac:dyDescent="0.2"/>
    <row r="112" spans="1: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R1000"/>
  <sheetViews>
    <sheetView topLeftCell="A128" zoomScale="107" zoomScaleNormal="80" workbookViewId="0">
      <selection activeCell="E151" sqref="E151"/>
    </sheetView>
  </sheetViews>
  <sheetFormatPr baseColWidth="10" defaultColWidth="14.5" defaultRowHeight="15" customHeight="1" x14ac:dyDescent="0.2"/>
  <cols>
    <col min="1" max="1" width="8.83203125" customWidth="1"/>
    <col min="2" max="2" width="31.83203125" customWidth="1"/>
    <col min="3" max="5" width="20.6640625" customWidth="1"/>
    <col min="6" max="6" width="18.33203125" customWidth="1"/>
    <col min="7" max="7" width="24" customWidth="1"/>
    <col min="8" max="8" width="16.83203125" customWidth="1"/>
    <col min="9" max="9" width="12.1640625" customWidth="1"/>
    <col min="10" max="10" width="14.5" customWidth="1"/>
    <col min="11" max="11" width="15.83203125" customWidth="1"/>
    <col min="12" max="12" width="21.5" customWidth="1"/>
    <col min="13" max="13" width="21.6640625" customWidth="1"/>
    <col min="14" max="14" width="13.1640625" customWidth="1"/>
    <col min="15" max="15" width="14.6640625" customWidth="1"/>
    <col min="16" max="16" width="16.5" customWidth="1"/>
    <col min="17" max="17" width="13.5" customWidth="1"/>
    <col min="18" max="18" width="8.83203125" customWidth="1"/>
    <col min="19" max="19" width="14.1640625" customWidth="1"/>
    <col min="20" max="20" width="13" customWidth="1"/>
    <col min="21" max="21" width="8.83203125" customWidth="1"/>
    <col min="22" max="22" width="14.5" customWidth="1"/>
    <col min="23" max="23" width="13.1640625" customWidth="1"/>
    <col min="24" max="24" width="8.83203125" customWidth="1"/>
    <col min="25" max="25" width="15" customWidth="1"/>
    <col min="26" max="26" width="15.33203125" customWidth="1"/>
    <col min="43" max="43" width="9.6640625" customWidth="1"/>
  </cols>
  <sheetData>
    <row r="1" spans="1:26" x14ac:dyDescent="0.2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26" x14ac:dyDescent="0.2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26" ht="24" x14ac:dyDescent="0.3">
      <c r="A3" s="14" t="s">
        <v>490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x14ac:dyDescent="0.2">
      <c r="A4" s="15"/>
      <c r="B4" s="15"/>
      <c r="C4" s="15"/>
      <c r="D4" s="15"/>
      <c r="E4" s="15"/>
      <c r="F4" s="15"/>
      <c r="G4" s="15"/>
      <c r="H4" s="15"/>
      <c r="I4" s="15"/>
      <c r="J4" s="15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26" x14ac:dyDescent="0.2">
      <c r="A5" s="13"/>
      <c r="B5" s="16" t="s">
        <v>35</v>
      </c>
      <c r="C5" s="16" t="s">
        <v>36</v>
      </c>
      <c r="D5" s="16"/>
      <c r="E5" s="16"/>
      <c r="F5" s="16"/>
      <c r="G5" s="16"/>
      <c r="H5" s="16"/>
      <c r="I5" s="16"/>
      <c r="J5" s="16"/>
      <c r="K5" s="16"/>
      <c r="L5" s="17"/>
      <c r="M5" s="17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26" x14ac:dyDescent="0.2">
      <c r="A6" s="13"/>
      <c r="B6" s="16"/>
      <c r="C6" s="16" t="s">
        <v>37</v>
      </c>
      <c r="D6" s="16" t="s">
        <v>38</v>
      </c>
      <c r="E6" s="16" t="s">
        <v>39</v>
      </c>
      <c r="F6" s="16" t="s">
        <v>40</v>
      </c>
      <c r="G6" s="16" t="s">
        <v>41</v>
      </c>
      <c r="H6" s="16" t="s">
        <v>42</v>
      </c>
      <c r="I6" s="16" t="s">
        <v>43</v>
      </c>
      <c r="J6" s="16" t="s">
        <v>44</v>
      </c>
      <c r="K6" s="16" t="s">
        <v>45</v>
      </c>
      <c r="L6" s="17"/>
      <c r="M6" s="17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x14ac:dyDescent="0.2">
      <c r="A7" s="13"/>
      <c r="B7" s="16"/>
      <c r="C7" s="16"/>
      <c r="D7" s="16"/>
      <c r="E7" s="16"/>
      <c r="F7" s="16"/>
      <c r="G7" s="16"/>
      <c r="H7" s="16"/>
      <c r="I7" s="16"/>
      <c r="J7" s="16"/>
      <c r="K7" s="16"/>
      <c r="L7" s="17"/>
      <c r="M7" s="17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x14ac:dyDescent="0.2">
      <c r="A8" s="13"/>
      <c r="B8" s="18" t="s">
        <v>46</v>
      </c>
      <c r="C8" s="18"/>
      <c r="D8" s="18"/>
      <c r="E8" s="18"/>
      <c r="F8" s="18"/>
      <c r="G8" s="18"/>
      <c r="H8" s="18"/>
      <c r="I8" s="18"/>
      <c r="J8" s="18"/>
      <c r="K8" s="18"/>
      <c r="L8" s="89" t="s">
        <v>47</v>
      </c>
      <c r="M8" s="89" t="s">
        <v>48</v>
      </c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26" x14ac:dyDescent="0.2">
      <c r="A9" s="13"/>
      <c r="B9" s="19" t="s">
        <v>49</v>
      </c>
      <c r="C9" s="20"/>
      <c r="D9" s="20"/>
      <c r="E9" s="21">
        <v>13170</v>
      </c>
      <c r="F9" s="21">
        <v>12775</v>
      </c>
      <c r="G9" s="21" t="s">
        <v>50</v>
      </c>
      <c r="H9" s="21" t="s">
        <v>51</v>
      </c>
      <c r="I9" s="21" t="s">
        <v>52</v>
      </c>
      <c r="J9" s="21" t="s">
        <v>53</v>
      </c>
      <c r="K9" s="21" t="s">
        <v>54</v>
      </c>
      <c r="L9" s="90">
        <v>1444945167</v>
      </c>
      <c r="M9" s="90" t="s">
        <v>55</v>
      </c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x14ac:dyDescent="0.2">
      <c r="A10" s="13"/>
      <c r="B10" s="22" t="s">
        <v>56</v>
      </c>
      <c r="C10" s="17"/>
      <c r="D10" s="17"/>
      <c r="E10" s="23">
        <v>15</v>
      </c>
      <c r="F10" s="17"/>
      <c r="G10" s="23" t="s">
        <v>57</v>
      </c>
      <c r="H10" s="23" t="s">
        <v>58</v>
      </c>
      <c r="I10" s="23">
        <v>34</v>
      </c>
      <c r="J10" s="17"/>
      <c r="K10" s="23" t="s">
        <v>59</v>
      </c>
      <c r="L10" s="17"/>
      <c r="M10" s="17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x14ac:dyDescent="0.2">
      <c r="A11" s="13"/>
      <c r="B11" s="22" t="s">
        <v>60</v>
      </c>
      <c r="C11" s="17"/>
      <c r="D11" s="17"/>
      <c r="E11" s="23">
        <v>60</v>
      </c>
      <c r="F11" s="23" t="s">
        <v>61</v>
      </c>
      <c r="G11" s="23" t="s">
        <v>62</v>
      </c>
      <c r="H11" s="23" t="s">
        <v>63</v>
      </c>
      <c r="I11" s="23" t="s">
        <v>64</v>
      </c>
      <c r="J11" s="23" t="s">
        <v>65</v>
      </c>
      <c r="K11" s="23" t="s">
        <v>66</v>
      </c>
      <c r="L11" s="17"/>
      <c r="M11" s="17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26" x14ac:dyDescent="0.2">
      <c r="A12" s="13"/>
      <c r="B12" s="22" t="s">
        <v>67</v>
      </c>
      <c r="C12" s="17"/>
      <c r="D12" s="17"/>
      <c r="E12" s="17"/>
      <c r="F12" s="23">
        <v>100</v>
      </c>
      <c r="G12" s="23" t="s">
        <v>68</v>
      </c>
      <c r="H12" s="23">
        <v>460</v>
      </c>
      <c r="I12" s="23" t="s">
        <v>69</v>
      </c>
      <c r="J12" s="23" t="s">
        <v>70</v>
      </c>
      <c r="K12" s="23" t="s">
        <v>71</v>
      </c>
      <c r="L12" s="17"/>
      <c r="M12" s="17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x14ac:dyDescent="0.2">
      <c r="A13" s="13"/>
      <c r="B13" s="22" t="s">
        <v>72</v>
      </c>
      <c r="C13" s="17"/>
      <c r="D13" s="17"/>
      <c r="E13" s="17"/>
      <c r="F13" s="17"/>
      <c r="G13" s="17"/>
      <c r="H13" s="17"/>
      <c r="I13" s="23" t="s">
        <v>73</v>
      </c>
      <c r="J13" s="17"/>
      <c r="K13" s="23" t="s">
        <v>73</v>
      </c>
      <c r="L13" s="17"/>
      <c r="M13" s="17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</row>
    <row r="14" spans="1:26" x14ac:dyDescent="0.2">
      <c r="A14" s="13"/>
      <c r="B14" s="22" t="s">
        <v>74</v>
      </c>
      <c r="C14" s="17"/>
      <c r="D14" s="17"/>
      <c r="E14" s="17"/>
      <c r="F14" s="23" t="s">
        <v>75</v>
      </c>
      <c r="G14" s="17"/>
      <c r="H14" s="17"/>
      <c r="I14" s="17"/>
      <c r="J14" s="17"/>
      <c r="K14" s="23" t="s">
        <v>75</v>
      </c>
      <c r="L14" s="17"/>
      <c r="M14" s="17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</row>
    <row r="15" spans="1:26" x14ac:dyDescent="0.2">
      <c r="A15" s="13"/>
      <c r="B15" s="22" t="s">
        <v>76</v>
      </c>
      <c r="C15" s="17"/>
      <c r="D15" s="17"/>
      <c r="E15" s="23" t="s">
        <v>77</v>
      </c>
      <c r="F15" s="23" t="s">
        <v>78</v>
      </c>
      <c r="G15" s="23" t="s">
        <v>79</v>
      </c>
      <c r="H15" s="23" t="s">
        <v>80</v>
      </c>
      <c r="I15" s="23" t="s">
        <v>81</v>
      </c>
      <c r="J15" s="23" t="s">
        <v>82</v>
      </c>
      <c r="K15" s="23" t="s">
        <v>83</v>
      </c>
      <c r="L15" s="17"/>
      <c r="M15" s="17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</row>
    <row r="16" spans="1:26" x14ac:dyDescent="0.2">
      <c r="A16" s="13"/>
      <c r="B16" s="22" t="s">
        <v>84</v>
      </c>
      <c r="C16" s="17"/>
      <c r="D16" s="17"/>
      <c r="E16" s="17"/>
      <c r="F16" s="23">
        <v>740</v>
      </c>
      <c r="G16" s="23" t="s">
        <v>85</v>
      </c>
      <c r="H16" s="23" t="s">
        <v>86</v>
      </c>
      <c r="I16" s="23" t="s">
        <v>87</v>
      </c>
      <c r="J16" s="23" t="s">
        <v>88</v>
      </c>
      <c r="K16" s="23" t="s">
        <v>89</v>
      </c>
      <c r="L16" s="17"/>
      <c r="M16" s="17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</row>
    <row r="17" spans="1:26" x14ac:dyDescent="0.2">
      <c r="A17" s="13"/>
      <c r="B17" s="22" t="s">
        <v>90</v>
      </c>
      <c r="C17" s="17"/>
      <c r="D17" s="17"/>
      <c r="E17" s="23">
        <v>170</v>
      </c>
      <c r="F17" s="17"/>
      <c r="G17" s="23" t="s">
        <v>91</v>
      </c>
      <c r="H17" s="17"/>
      <c r="I17" s="17"/>
      <c r="J17" s="17"/>
      <c r="K17" s="23" t="s">
        <v>92</v>
      </c>
      <c r="L17" s="17"/>
      <c r="M17" s="17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</row>
    <row r="18" spans="1:26" x14ac:dyDescent="0.2">
      <c r="A18" s="13"/>
      <c r="B18" s="22" t="s">
        <v>93</v>
      </c>
      <c r="C18" s="17"/>
      <c r="D18" s="17"/>
      <c r="E18" s="23" t="s">
        <v>94</v>
      </c>
      <c r="F18" s="17"/>
      <c r="G18" s="17"/>
      <c r="H18" s="17"/>
      <c r="I18" s="17"/>
      <c r="J18" s="17"/>
      <c r="K18" s="23" t="s">
        <v>94</v>
      </c>
      <c r="L18" s="17"/>
      <c r="M18" s="17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</row>
    <row r="19" spans="1:26" x14ac:dyDescent="0.2">
      <c r="A19" s="13"/>
      <c r="B19" s="22" t="s">
        <v>95</v>
      </c>
      <c r="C19" s="17"/>
      <c r="D19" s="17"/>
      <c r="E19" s="17"/>
      <c r="F19" s="17"/>
      <c r="G19" s="23" t="s">
        <v>96</v>
      </c>
      <c r="H19" s="17"/>
      <c r="I19" s="23" t="s">
        <v>97</v>
      </c>
      <c r="J19" s="23" t="s">
        <v>98</v>
      </c>
      <c r="K19" s="23" t="s">
        <v>99</v>
      </c>
      <c r="L19" s="17"/>
      <c r="M19" s="17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</row>
    <row r="20" spans="1:26" x14ac:dyDescent="0.2">
      <c r="A20" s="13"/>
      <c r="B20" s="22" t="s">
        <v>100</v>
      </c>
      <c r="C20" s="17"/>
      <c r="D20" s="17"/>
      <c r="E20" s="17"/>
      <c r="F20" s="17"/>
      <c r="G20" s="23">
        <v>440</v>
      </c>
      <c r="H20" s="17"/>
      <c r="I20" s="17"/>
      <c r="J20" s="17"/>
      <c r="K20" s="23">
        <v>440</v>
      </c>
      <c r="L20" s="17"/>
      <c r="M20" s="17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</row>
    <row r="21" spans="1:26" ht="15.75" customHeight="1" x14ac:dyDescent="0.2">
      <c r="A21" s="13"/>
      <c r="B21" s="22" t="s">
        <v>101</v>
      </c>
      <c r="C21" s="17"/>
      <c r="D21" s="17"/>
      <c r="E21" s="23" t="s">
        <v>102</v>
      </c>
      <c r="F21" s="23" t="s">
        <v>103</v>
      </c>
      <c r="G21" s="23" t="s">
        <v>104</v>
      </c>
      <c r="H21" s="23" t="s">
        <v>105</v>
      </c>
      <c r="I21" s="23" t="s">
        <v>106</v>
      </c>
      <c r="J21" s="23" t="s">
        <v>107</v>
      </c>
      <c r="K21" s="23" t="s">
        <v>108</v>
      </c>
      <c r="L21" s="17"/>
      <c r="M21" s="17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</row>
    <row r="22" spans="1:26" ht="15.75" customHeight="1" x14ac:dyDescent="0.2">
      <c r="A22" s="13"/>
      <c r="B22" s="22" t="s">
        <v>109</v>
      </c>
      <c r="C22" s="17"/>
      <c r="D22" s="17"/>
      <c r="E22" s="23">
        <v>2680</v>
      </c>
      <c r="F22" s="23">
        <v>1340</v>
      </c>
      <c r="G22" s="23" t="s">
        <v>110</v>
      </c>
      <c r="H22" s="23" t="s">
        <v>111</v>
      </c>
      <c r="I22" s="23" t="s">
        <v>112</v>
      </c>
      <c r="J22" s="23">
        <v>730</v>
      </c>
      <c r="K22" s="23" t="s">
        <v>113</v>
      </c>
      <c r="L22" s="17"/>
      <c r="M22" s="17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</row>
    <row r="23" spans="1:26" ht="15.75" customHeight="1" x14ac:dyDescent="0.2">
      <c r="A23" s="13"/>
      <c r="B23" s="22" t="s">
        <v>114</v>
      </c>
      <c r="C23" s="17"/>
      <c r="D23" s="17"/>
      <c r="E23" s="23">
        <v>370</v>
      </c>
      <c r="F23" s="23">
        <v>1460</v>
      </c>
      <c r="G23" s="23" t="s">
        <v>115</v>
      </c>
      <c r="H23" s="23" t="s">
        <v>116</v>
      </c>
      <c r="I23" s="23">
        <v>1090</v>
      </c>
      <c r="J23" s="23">
        <v>380</v>
      </c>
      <c r="K23" s="23" t="s">
        <v>117</v>
      </c>
      <c r="L23" s="17"/>
      <c r="M23" s="17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</row>
    <row r="24" spans="1:26" ht="15.75" customHeight="1" x14ac:dyDescent="0.2">
      <c r="A24" s="13"/>
      <c r="B24" s="22" t="s">
        <v>118</v>
      </c>
      <c r="C24" s="17"/>
      <c r="D24" s="17"/>
      <c r="E24" s="23">
        <v>1505</v>
      </c>
      <c r="F24" s="23">
        <v>770</v>
      </c>
      <c r="G24" s="23" t="s">
        <v>119</v>
      </c>
      <c r="H24" s="17"/>
      <c r="I24" s="23">
        <v>1620</v>
      </c>
      <c r="J24" s="23">
        <v>1680</v>
      </c>
      <c r="K24" s="23" t="s">
        <v>120</v>
      </c>
      <c r="L24" s="17"/>
      <c r="M24" s="17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</row>
    <row r="25" spans="1:26" ht="15.75" customHeight="1" x14ac:dyDescent="0.2">
      <c r="A25" s="13"/>
      <c r="B25" s="22" t="s">
        <v>121</v>
      </c>
      <c r="C25" s="17"/>
      <c r="D25" s="17"/>
      <c r="E25" s="23">
        <v>320</v>
      </c>
      <c r="F25" s="17"/>
      <c r="G25" s="23" t="s">
        <v>122</v>
      </c>
      <c r="H25" s="17"/>
      <c r="I25" s="23">
        <v>640</v>
      </c>
      <c r="J25" s="23">
        <v>330</v>
      </c>
      <c r="K25" s="23" t="s">
        <v>123</v>
      </c>
      <c r="L25" s="17"/>
      <c r="M25" s="17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</row>
    <row r="26" spans="1:26" ht="15.75" customHeight="1" x14ac:dyDescent="0.2">
      <c r="A26" s="13"/>
      <c r="B26" s="22" t="s">
        <v>124</v>
      </c>
      <c r="C26" s="17"/>
      <c r="D26" s="17"/>
      <c r="E26" s="17"/>
      <c r="F26" s="23">
        <v>640</v>
      </c>
      <c r="G26" s="17"/>
      <c r="H26" s="17"/>
      <c r="I26" s="23">
        <v>1340</v>
      </c>
      <c r="J26" s="17"/>
      <c r="K26" s="23">
        <v>1980</v>
      </c>
      <c r="L26" s="89" t="s">
        <v>47</v>
      </c>
      <c r="M26" s="89" t="s">
        <v>48</v>
      </c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</row>
    <row r="27" spans="1:26" ht="15.75" customHeight="1" x14ac:dyDescent="0.2">
      <c r="A27" s="13"/>
      <c r="B27" s="19" t="s">
        <v>125</v>
      </c>
      <c r="C27" s="21" t="s">
        <v>126</v>
      </c>
      <c r="D27" s="21" t="s">
        <v>127</v>
      </c>
      <c r="E27" s="21" t="s">
        <v>128</v>
      </c>
      <c r="F27" s="21" t="s">
        <v>129</v>
      </c>
      <c r="G27" s="21" t="s">
        <v>130</v>
      </c>
      <c r="H27" s="21" t="s">
        <v>131</v>
      </c>
      <c r="I27" s="21" t="s">
        <v>132</v>
      </c>
      <c r="J27" s="21" t="s">
        <v>133</v>
      </c>
      <c r="K27" s="21" t="s">
        <v>134</v>
      </c>
      <c r="L27" s="90">
        <v>8143744667</v>
      </c>
      <c r="M27" s="90" t="s">
        <v>135</v>
      </c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</row>
    <row r="28" spans="1:26" ht="15.75" customHeight="1" x14ac:dyDescent="0.2">
      <c r="A28" s="13"/>
      <c r="B28" s="22" t="s">
        <v>60</v>
      </c>
      <c r="C28" s="23" t="s">
        <v>136</v>
      </c>
      <c r="D28" s="23" t="s">
        <v>137</v>
      </c>
      <c r="E28" s="23" t="s">
        <v>138</v>
      </c>
      <c r="F28" s="23" t="s">
        <v>139</v>
      </c>
      <c r="G28" s="23" t="s">
        <v>140</v>
      </c>
      <c r="H28" s="23" t="s">
        <v>141</v>
      </c>
      <c r="I28" s="23" t="s">
        <v>142</v>
      </c>
      <c r="J28" s="23" t="s">
        <v>143</v>
      </c>
      <c r="K28" s="23" t="s">
        <v>144</v>
      </c>
      <c r="L28" s="17"/>
      <c r="M28" s="17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</row>
    <row r="29" spans="1:26" ht="15.75" customHeight="1" x14ac:dyDescent="0.2">
      <c r="A29" s="13"/>
      <c r="B29" s="22" t="s">
        <v>145</v>
      </c>
      <c r="C29" s="23">
        <v>195</v>
      </c>
      <c r="D29" s="23">
        <v>50</v>
      </c>
      <c r="E29" s="23">
        <v>90</v>
      </c>
      <c r="F29" s="23">
        <v>50</v>
      </c>
      <c r="G29" s="17"/>
      <c r="H29" s="23">
        <v>55</v>
      </c>
      <c r="I29" s="23">
        <v>70</v>
      </c>
      <c r="J29" s="17"/>
      <c r="K29" s="23">
        <v>510</v>
      </c>
      <c r="L29" s="17"/>
      <c r="M29" s="17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</row>
    <row r="30" spans="1:26" ht="15.75" customHeight="1" x14ac:dyDescent="0.2">
      <c r="A30" s="13"/>
      <c r="B30" s="22" t="s">
        <v>67</v>
      </c>
      <c r="C30" s="23">
        <v>4050</v>
      </c>
      <c r="D30" s="17"/>
      <c r="E30" s="17"/>
      <c r="F30" s="23" t="s">
        <v>146</v>
      </c>
      <c r="G30" s="23" t="s">
        <v>147</v>
      </c>
      <c r="H30" s="23" t="s">
        <v>148</v>
      </c>
      <c r="I30" s="23" t="s">
        <v>149</v>
      </c>
      <c r="J30" s="23" t="s">
        <v>150</v>
      </c>
      <c r="K30" s="23" t="s">
        <v>151</v>
      </c>
      <c r="L30" s="17"/>
      <c r="M30" s="17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</row>
    <row r="31" spans="1:26" ht="15.75" customHeight="1" x14ac:dyDescent="0.2">
      <c r="A31" s="13"/>
      <c r="B31" s="22" t="s">
        <v>72</v>
      </c>
      <c r="C31" s="23" t="s">
        <v>152</v>
      </c>
      <c r="D31" s="23">
        <v>825</v>
      </c>
      <c r="E31" s="17"/>
      <c r="F31" s="17"/>
      <c r="G31" s="23" t="s">
        <v>153</v>
      </c>
      <c r="H31" s="23" t="s">
        <v>154</v>
      </c>
      <c r="I31" s="23" t="s">
        <v>155</v>
      </c>
      <c r="J31" s="23">
        <v>50</v>
      </c>
      <c r="K31" s="23" t="s">
        <v>156</v>
      </c>
      <c r="L31" s="17"/>
      <c r="M31" s="17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</row>
    <row r="32" spans="1:26" ht="15.75" customHeight="1" x14ac:dyDescent="0.2">
      <c r="A32" s="13"/>
      <c r="B32" s="22" t="s">
        <v>74</v>
      </c>
      <c r="C32" s="23" t="s">
        <v>157</v>
      </c>
      <c r="D32" s="23">
        <v>462</v>
      </c>
      <c r="E32" s="23" t="s">
        <v>158</v>
      </c>
      <c r="F32" s="23" t="s">
        <v>159</v>
      </c>
      <c r="G32" s="23" t="s">
        <v>160</v>
      </c>
      <c r="H32" s="23">
        <v>520</v>
      </c>
      <c r="I32" s="23">
        <v>1040</v>
      </c>
      <c r="J32" s="23">
        <v>858</v>
      </c>
      <c r="K32" s="23" t="s">
        <v>161</v>
      </c>
      <c r="L32" s="17"/>
      <c r="M32" s="17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</row>
    <row r="33" spans="1:26" ht="15.75" customHeight="1" x14ac:dyDescent="0.2">
      <c r="A33" s="13"/>
      <c r="B33" s="22" t="s">
        <v>76</v>
      </c>
      <c r="C33" s="23">
        <v>13176</v>
      </c>
      <c r="D33" s="23" t="s">
        <v>162</v>
      </c>
      <c r="E33" s="23" t="s">
        <v>163</v>
      </c>
      <c r="F33" s="23" t="s">
        <v>164</v>
      </c>
      <c r="G33" s="23" t="s">
        <v>165</v>
      </c>
      <c r="H33" s="23" t="s">
        <v>166</v>
      </c>
      <c r="I33" s="23" t="s">
        <v>167</v>
      </c>
      <c r="J33" s="23" t="s">
        <v>168</v>
      </c>
      <c r="K33" s="23" t="s">
        <v>169</v>
      </c>
      <c r="L33" s="17"/>
      <c r="M33" s="17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</row>
    <row r="34" spans="1:26" ht="15.75" customHeight="1" x14ac:dyDescent="0.2">
      <c r="A34" s="13"/>
      <c r="B34" s="22" t="s">
        <v>84</v>
      </c>
      <c r="C34" s="23" t="s">
        <v>170</v>
      </c>
      <c r="D34" s="17"/>
      <c r="E34" s="17"/>
      <c r="F34" s="23" t="s">
        <v>171</v>
      </c>
      <c r="G34" s="23" t="s">
        <v>172</v>
      </c>
      <c r="H34" s="23" t="s">
        <v>173</v>
      </c>
      <c r="I34" s="23">
        <v>10360</v>
      </c>
      <c r="J34" s="23" t="s">
        <v>174</v>
      </c>
      <c r="K34" s="23" t="s">
        <v>175</v>
      </c>
      <c r="L34" s="17"/>
      <c r="M34" s="17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5.75" customHeight="1" x14ac:dyDescent="0.2">
      <c r="A35" s="13"/>
      <c r="B35" s="22" t="s">
        <v>176</v>
      </c>
      <c r="C35" s="23">
        <v>436</v>
      </c>
      <c r="D35" s="23">
        <v>469</v>
      </c>
      <c r="E35" s="23" t="s">
        <v>177</v>
      </c>
      <c r="F35" s="23">
        <v>464</v>
      </c>
      <c r="G35" s="23">
        <v>443</v>
      </c>
      <c r="H35" s="23">
        <v>320</v>
      </c>
      <c r="I35" s="17"/>
      <c r="J35" s="23" t="s">
        <v>178</v>
      </c>
      <c r="K35" s="23">
        <v>2719</v>
      </c>
      <c r="L35" s="17"/>
      <c r="M35" s="17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</row>
    <row r="36" spans="1:26" ht="15.75" customHeight="1" x14ac:dyDescent="0.2">
      <c r="A36" s="13"/>
      <c r="B36" s="22" t="s">
        <v>90</v>
      </c>
      <c r="C36" s="23">
        <v>1080</v>
      </c>
      <c r="D36" s="23">
        <v>540</v>
      </c>
      <c r="E36" s="23" t="s">
        <v>179</v>
      </c>
      <c r="F36" s="23">
        <v>1703</v>
      </c>
      <c r="G36" s="23">
        <v>300</v>
      </c>
      <c r="H36" s="23">
        <v>280</v>
      </c>
      <c r="I36" s="23">
        <v>280</v>
      </c>
      <c r="J36" s="23" t="s">
        <v>180</v>
      </c>
      <c r="K36" s="23" t="s">
        <v>181</v>
      </c>
      <c r="L36" s="17"/>
      <c r="M36" s="17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</row>
    <row r="37" spans="1:26" ht="15.75" customHeight="1" x14ac:dyDescent="0.2">
      <c r="A37" s="13"/>
      <c r="B37" s="22" t="s">
        <v>93</v>
      </c>
      <c r="C37" s="23">
        <v>1668</v>
      </c>
      <c r="D37" s="23" t="s">
        <v>182</v>
      </c>
      <c r="E37" s="23" t="s">
        <v>183</v>
      </c>
      <c r="F37" s="17"/>
      <c r="G37" s="17"/>
      <c r="H37" s="17"/>
      <c r="I37" s="23">
        <v>700</v>
      </c>
      <c r="J37" s="23">
        <v>1244</v>
      </c>
      <c r="K37" s="23" t="s">
        <v>184</v>
      </c>
      <c r="L37" s="17"/>
      <c r="M37" s="17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</row>
    <row r="38" spans="1:26" ht="15.75" customHeight="1" x14ac:dyDescent="0.2">
      <c r="A38" s="13"/>
      <c r="B38" s="22" t="s">
        <v>95</v>
      </c>
      <c r="C38" s="23">
        <v>700</v>
      </c>
      <c r="D38" s="23">
        <v>1120</v>
      </c>
      <c r="E38" s="23">
        <v>1300</v>
      </c>
      <c r="F38" s="23" t="s">
        <v>185</v>
      </c>
      <c r="G38" s="23">
        <v>500</v>
      </c>
      <c r="H38" s="23">
        <v>520</v>
      </c>
      <c r="I38" s="23">
        <v>1160</v>
      </c>
      <c r="J38" s="23" t="s">
        <v>186</v>
      </c>
      <c r="K38" s="23" t="s">
        <v>187</v>
      </c>
      <c r="L38" s="17"/>
      <c r="M38" s="17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</row>
    <row r="39" spans="1:26" ht="15.75" customHeight="1" x14ac:dyDescent="0.2">
      <c r="A39" s="13"/>
      <c r="B39" s="22" t="s">
        <v>100</v>
      </c>
      <c r="C39" s="23" t="s">
        <v>188</v>
      </c>
      <c r="D39" s="23">
        <v>850</v>
      </c>
      <c r="E39" s="23">
        <v>1707</v>
      </c>
      <c r="F39" s="23">
        <v>1298</v>
      </c>
      <c r="G39" s="23">
        <v>440</v>
      </c>
      <c r="H39" s="23">
        <v>880</v>
      </c>
      <c r="I39" s="23">
        <v>1300</v>
      </c>
      <c r="J39" s="17"/>
      <c r="K39" s="23" t="s">
        <v>189</v>
      </c>
      <c r="L39" s="17"/>
      <c r="M39" s="17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</row>
    <row r="40" spans="1:26" ht="15.75" customHeight="1" x14ac:dyDescent="0.2">
      <c r="A40" s="13"/>
      <c r="B40" s="22" t="s">
        <v>101</v>
      </c>
      <c r="C40" s="23" t="s">
        <v>190</v>
      </c>
      <c r="D40" s="23" t="s">
        <v>191</v>
      </c>
      <c r="E40" s="23">
        <v>4280</v>
      </c>
      <c r="F40" s="23" t="s">
        <v>192</v>
      </c>
      <c r="G40" s="23">
        <v>6880</v>
      </c>
      <c r="H40" s="23" t="s">
        <v>193</v>
      </c>
      <c r="I40" s="23">
        <v>4000</v>
      </c>
      <c r="J40" s="23" t="s">
        <v>194</v>
      </c>
      <c r="K40" s="23" t="s">
        <v>195</v>
      </c>
      <c r="L40" s="17"/>
      <c r="M40" s="17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</row>
    <row r="41" spans="1:26" ht="15.75" customHeight="1" x14ac:dyDescent="0.2">
      <c r="A41" s="13"/>
      <c r="B41" s="22" t="s">
        <v>109</v>
      </c>
      <c r="C41" s="23">
        <v>17670</v>
      </c>
      <c r="D41" s="23">
        <v>16568</v>
      </c>
      <c r="E41" s="23" t="s">
        <v>196</v>
      </c>
      <c r="F41" s="23" t="s">
        <v>197</v>
      </c>
      <c r="G41" s="23" t="s">
        <v>198</v>
      </c>
      <c r="H41" s="23">
        <v>18254</v>
      </c>
      <c r="I41" s="23">
        <v>9720</v>
      </c>
      <c r="J41" s="23" t="s">
        <v>199</v>
      </c>
      <c r="K41" s="23">
        <v>121578</v>
      </c>
      <c r="L41" s="17"/>
      <c r="M41" s="17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</row>
    <row r="42" spans="1:26" ht="15.75" customHeight="1" x14ac:dyDescent="0.2">
      <c r="A42" s="13"/>
      <c r="B42" s="22" t="s">
        <v>114</v>
      </c>
      <c r="C42" s="23">
        <v>5953</v>
      </c>
      <c r="D42" s="23" t="s">
        <v>200</v>
      </c>
      <c r="E42" s="23" t="s">
        <v>201</v>
      </c>
      <c r="F42" s="23" t="s">
        <v>202</v>
      </c>
      <c r="G42" s="23">
        <v>2100</v>
      </c>
      <c r="H42" s="23" t="s">
        <v>203</v>
      </c>
      <c r="I42" s="23">
        <v>3250</v>
      </c>
      <c r="J42" s="23" t="s">
        <v>204</v>
      </c>
      <c r="K42" s="23" t="s">
        <v>205</v>
      </c>
      <c r="L42" s="17"/>
      <c r="M42" s="17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5.75" customHeight="1" x14ac:dyDescent="0.2">
      <c r="A43" s="13"/>
      <c r="B43" s="22" t="s">
        <v>118</v>
      </c>
      <c r="C43" s="23" t="s">
        <v>206</v>
      </c>
      <c r="D43" s="23" t="s">
        <v>207</v>
      </c>
      <c r="E43" s="23" t="s">
        <v>208</v>
      </c>
      <c r="F43" s="23" t="s">
        <v>209</v>
      </c>
      <c r="G43" s="23">
        <v>6690</v>
      </c>
      <c r="H43" s="23" t="s">
        <v>210</v>
      </c>
      <c r="I43" s="23" t="s">
        <v>211</v>
      </c>
      <c r="J43" s="23" t="s">
        <v>212</v>
      </c>
      <c r="K43" s="23" t="s">
        <v>213</v>
      </c>
      <c r="L43" s="17"/>
      <c r="M43" s="17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/>
      <c r="Y43" s="13"/>
      <c r="Z43" s="13"/>
    </row>
    <row r="44" spans="1:26" ht="15.75" customHeight="1" x14ac:dyDescent="0.2">
      <c r="A44" s="13"/>
      <c r="B44" s="22" t="s">
        <v>121</v>
      </c>
      <c r="C44" s="23">
        <v>816</v>
      </c>
      <c r="D44" s="23">
        <v>1894</v>
      </c>
      <c r="E44" s="23" t="s">
        <v>214</v>
      </c>
      <c r="F44" s="23" t="s">
        <v>215</v>
      </c>
      <c r="G44" s="23">
        <v>3800</v>
      </c>
      <c r="H44" s="23">
        <v>1840</v>
      </c>
      <c r="I44" s="23">
        <v>3600</v>
      </c>
      <c r="J44" s="23">
        <v>3250</v>
      </c>
      <c r="K44" s="23" t="s">
        <v>216</v>
      </c>
      <c r="L44" s="17"/>
      <c r="M44" s="17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</row>
    <row r="45" spans="1:26" ht="15.75" customHeight="1" x14ac:dyDescent="0.2">
      <c r="A45" s="13"/>
      <c r="B45" s="22" t="s">
        <v>124</v>
      </c>
      <c r="C45" s="23">
        <v>2118</v>
      </c>
      <c r="D45" s="23">
        <v>2464</v>
      </c>
      <c r="E45" s="23">
        <v>3456</v>
      </c>
      <c r="F45" s="23" t="s">
        <v>217</v>
      </c>
      <c r="G45" s="23">
        <v>1880</v>
      </c>
      <c r="H45" s="23">
        <v>3350</v>
      </c>
      <c r="I45" s="23">
        <v>1330</v>
      </c>
      <c r="J45" s="23">
        <v>2100</v>
      </c>
      <c r="K45" s="23" t="s">
        <v>218</v>
      </c>
      <c r="L45" s="89" t="s">
        <v>47</v>
      </c>
      <c r="M45" s="89" t="s">
        <v>48</v>
      </c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</row>
    <row r="46" spans="1:26" ht="15.75" customHeight="1" x14ac:dyDescent="0.2">
      <c r="A46" s="13"/>
      <c r="B46" s="19" t="s">
        <v>219</v>
      </c>
      <c r="C46" s="21" t="s">
        <v>220</v>
      </c>
      <c r="D46" s="21" t="s">
        <v>221</v>
      </c>
      <c r="E46" s="21" t="s">
        <v>222</v>
      </c>
      <c r="F46" s="21" t="s">
        <v>223</v>
      </c>
      <c r="G46" s="21" t="s">
        <v>224</v>
      </c>
      <c r="H46" s="21" t="s">
        <v>225</v>
      </c>
      <c r="I46" s="21" t="s">
        <v>226</v>
      </c>
      <c r="J46" s="21" t="s">
        <v>227</v>
      </c>
      <c r="K46" s="21" t="s">
        <v>228</v>
      </c>
      <c r="L46" s="90">
        <v>5566054167</v>
      </c>
      <c r="M46" s="90" t="s">
        <v>229</v>
      </c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</row>
    <row r="47" spans="1:26" ht="15.75" customHeight="1" x14ac:dyDescent="0.2">
      <c r="A47" s="13"/>
      <c r="B47" s="22" t="s">
        <v>56</v>
      </c>
      <c r="C47" s="17"/>
      <c r="D47" s="17"/>
      <c r="E47" s="23">
        <v>55</v>
      </c>
      <c r="F47" s="23">
        <v>125</v>
      </c>
      <c r="G47" s="23">
        <v>127</v>
      </c>
      <c r="H47" s="17"/>
      <c r="I47" s="17"/>
      <c r="J47" s="17"/>
      <c r="K47" s="23">
        <v>307</v>
      </c>
      <c r="L47" s="17"/>
      <c r="M47" s="17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</row>
    <row r="48" spans="1:26" ht="15.75" customHeight="1" x14ac:dyDescent="0.2">
      <c r="A48" s="13"/>
      <c r="B48" s="22" t="s">
        <v>60</v>
      </c>
      <c r="C48" s="23" t="s">
        <v>230</v>
      </c>
      <c r="D48" s="23" t="s">
        <v>231</v>
      </c>
      <c r="E48" s="23">
        <v>240</v>
      </c>
      <c r="F48" s="23" t="s">
        <v>232</v>
      </c>
      <c r="G48" s="23" t="s">
        <v>233</v>
      </c>
      <c r="H48" s="23">
        <v>470</v>
      </c>
      <c r="I48" s="23" t="s">
        <v>234</v>
      </c>
      <c r="J48" s="23" t="s">
        <v>235</v>
      </c>
      <c r="K48" s="23" t="s">
        <v>236</v>
      </c>
      <c r="L48" s="17"/>
      <c r="M48" s="17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</row>
    <row r="49" spans="1:26" ht="15.75" customHeight="1" x14ac:dyDescent="0.2">
      <c r="A49" s="13"/>
      <c r="B49" s="22" t="s">
        <v>145</v>
      </c>
      <c r="C49" s="23" t="s">
        <v>237</v>
      </c>
      <c r="D49" s="23">
        <v>50</v>
      </c>
      <c r="E49" s="23">
        <v>150</v>
      </c>
      <c r="F49" s="23">
        <v>184</v>
      </c>
      <c r="G49" s="23">
        <v>50</v>
      </c>
      <c r="H49" s="23" t="s">
        <v>238</v>
      </c>
      <c r="I49" s="23" t="s">
        <v>239</v>
      </c>
      <c r="J49" s="23" t="s">
        <v>240</v>
      </c>
      <c r="K49" s="23" t="s">
        <v>241</v>
      </c>
      <c r="L49" s="17"/>
      <c r="M49" s="17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</row>
    <row r="50" spans="1:26" ht="15.75" customHeight="1" x14ac:dyDescent="0.2">
      <c r="A50" s="13"/>
      <c r="B50" s="22" t="s">
        <v>67</v>
      </c>
      <c r="C50" s="23" t="s">
        <v>242</v>
      </c>
      <c r="D50" s="23" t="s">
        <v>243</v>
      </c>
      <c r="E50" s="17"/>
      <c r="F50" s="23">
        <v>540</v>
      </c>
      <c r="G50" s="23" t="s">
        <v>244</v>
      </c>
      <c r="H50" s="23">
        <v>1180</v>
      </c>
      <c r="I50" s="23" t="s">
        <v>245</v>
      </c>
      <c r="J50" s="23" t="s">
        <v>246</v>
      </c>
      <c r="K50" s="23" t="s">
        <v>247</v>
      </c>
      <c r="L50" s="17"/>
      <c r="M50" s="17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</row>
    <row r="51" spans="1:26" ht="15.75" customHeight="1" x14ac:dyDescent="0.2">
      <c r="A51" s="13"/>
      <c r="B51" s="22" t="s">
        <v>72</v>
      </c>
      <c r="C51" s="17"/>
      <c r="D51" s="23" t="s">
        <v>248</v>
      </c>
      <c r="E51" s="23" t="s">
        <v>249</v>
      </c>
      <c r="F51" s="23">
        <v>90</v>
      </c>
      <c r="G51" s="17"/>
      <c r="H51" s="17"/>
      <c r="I51" s="17"/>
      <c r="J51" s="17"/>
      <c r="K51" s="23" t="s">
        <v>250</v>
      </c>
      <c r="L51" s="17"/>
      <c r="M51" s="17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</row>
    <row r="52" spans="1:26" ht="15.75" customHeight="1" x14ac:dyDescent="0.2">
      <c r="A52" s="13"/>
      <c r="B52" s="22" t="s">
        <v>74</v>
      </c>
      <c r="C52" s="17"/>
      <c r="D52" s="23">
        <v>494</v>
      </c>
      <c r="E52" s="23">
        <v>260</v>
      </c>
      <c r="F52" s="23">
        <v>520</v>
      </c>
      <c r="G52" s="23">
        <v>235</v>
      </c>
      <c r="H52" s="23">
        <v>495</v>
      </c>
      <c r="I52" s="23">
        <v>340</v>
      </c>
      <c r="J52" s="23">
        <v>0</v>
      </c>
      <c r="K52" s="23">
        <v>2344</v>
      </c>
      <c r="L52" s="17"/>
      <c r="M52" s="17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</row>
    <row r="53" spans="1:26" ht="15.75" customHeight="1" x14ac:dyDescent="0.2">
      <c r="A53" s="13"/>
      <c r="B53" s="22" t="s">
        <v>76</v>
      </c>
      <c r="C53" s="23" t="s">
        <v>251</v>
      </c>
      <c r="D53" s="23">
        <v>9878</v>
      </c>
      <c r="E53" s="23" t="s">
        <v>252</v>
      </c>
      <c r="F53" s="23" t="s">
        <v>253</v>
      </c>
      <c r="G53" s="23" t="s">
        <v>254</v>
      </c>
      <c r="H53" s="23" t="s">
        <v>255</v>
      </c>
      <c r="I53" s="23" t="s">
        <v>256</v>
      </c>
      <c r="J53" s="23">
        <v>4560</v>
      </c>
      <c r="K53" s="23" t="s">
        <v>257</v>
      </c>
      <c r="L53" s="17"/>
      <c r="M53" s="17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</row>
    <row r="54" spans="1:26" ht="15.75" customHeight="1" x14ac:dyDescent="0.2">
      <c r="A54" s="13"/>
      <c r="B54" s="22" t="s">
        <v>84</v>
      </c>
      <c r="C54" s="23" t="s">
        <v>258</v>
      </c>
      <c r="D54" s="23" t="s">
        <v>259</v>
      </c>
      <c r="E54" s="17"/>
      <c r="F54" s="23">
        <v>3330</v>
      </c>
      <c r="G54" s="23">
        <v>3700</v>
      </c>
      <c r="H54" s="23">
        <v>740</v>
      </c>
      <c r="I54" s="23" t="s">
        <v>260</v>
      </c>
      <c r="J54" s="23" t="s">
        <v>261</v>
      </c>
      <c r="K54" s="23" t="s">
        <v>262</v>
      </c>
      <c r="L54" s="17"/>
      <c r="M54" s="17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</row>
    <row r="55" spans="1:26" ht="15.75" customHeight="1" x14ac:dyDescent="0.2">
      <c r="A55" s="13"/>
      <c r="B55" s="22" t="s">
        <v>176</v>
      </c>
      <c r="C55" s="23">
        <v>140</v>
      </c>
      <c r="D55" s="23">
        <v>160</v>
      </c>
      <c r="E55" s="23">
        <v>320</v>
      </c>
      <c r="F55" s="17"/>
      <c r="G55" s="17"/>
      <c r="H55" s="17"/>
      <c r="I55" s="17"/>
      <c r="J55" s="23">
        <v>320</v>
      </c>
      <c r="K55" s="23">
        <v>940</v>
      </c>
      <c r="L55" s="17"/>
      <c r="M55" s="17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15.75" customHeight="1" x14ac:dyDescent="0.2">
      <c r="A56" s="13"/>
      <c r="B56" s="22" t="s">
        <v>90</v>
      </c>
      <c r="C56" s="23" t="s">
        <v>263</v>
      </c>
      <c r="D56" s="23">
        <v>360</v>
      </c>
      <c r="E56" s="23">
        <v>190</v>
      </c>
      <c r="F56" s="23" t="s">
        <v>264</v>
      </c>
      <c r="G56" s="23">
        <v>1650</v>
      </c>
      <c r="H56" s="23">
        <v>330</v>
      </c>
      <c r="I56" s="23">
        <v>330</v>
      </c>
      <c r="J56" s="23">
        <v>330</v>
      </c>
      <c r="K56" s="23" t="s">
        <v>265</v>
      </c>
      <c r="L56" s="17"/>
      <c r="M56" s="17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</row>
    <row r="57" spans="1:26" ht="15.75" customHeight="1" x14ac:dyDescent="0.2">
      <c r="A57" s="13"/>
      <c r="B57" s="22" t="s">
        <v>93</v>
      </c>
      <c r="C57" s="17"/>
      <c r="D57" s="17"/>
      <c r="E57" s="23">
        <v>670</v>
      </c>
      <c r="F57" s="23">
        <v>670</v>
      </c>
      <c r="G57" s="23">
        <v>2010</v>
      </c>
      <c r="H57" s="17"/>
      <c r="I57" s="17"/>
      <c r="J57" s="17"/>
      <c r="K57" s="23">
        <v>3350</v>
      </c>
      <c r="L57" s="17"/>
      <c r="M57" s="17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15.75" customHeight="1" x14ac:dyDescent="0.2">
      <c r="A58" s="13"/>
      <c r="B58" s="22" t="s">
        <v>95</v>
      </c>
      <c r="C58" s="23">
        <v>250</v>
      </c>
      <c r="D58" s="23" t="s">
        <v>266</v>
      </c>
      <c r="E58" s="23">
        <v>1734</v>
      </c>
      <c r="F58" s="23">
        <v>1000</v>
      </c>
      <c r="G58" s="23" t="s">
        <v>267</v>
      </c>
      <c r="H58" s="23">
        <v>1040</v>
      </c>
      <c r="I58" s="23">
        <v>1679</v>
      </c>
      <c r="J58" s="23" t="s">
        <v>268</v>
      </c>
      <c r="K58" s="23" t="s">
        <v>269</v>
      </c>
      <c r="L58" s="17"/>
      <c r="M58" s="17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</row>
    <row r="59" spans="1:26" ht="15.75" customHeight="1" x14ac:dyDescent="0.2">
      <c r="A59" s="13"/>
      <c r="B59" s="22" t="s">
        <v>100</v>
      </c>
      <c r="C59" s="23">
        <v>395</v>
      </c>
      <c r="D59" s="23">
        <v>1320</v>
      </c>
      <c r="E59" s="17"/>
      <c r="F59" s="17"/>
      <c r="G59" s="23">
        <v>440</v>
      </c>
      <c r="H59" s="23">
        <v>440</v>
      </c>
      <c r="I59" s="23">
        <v>880</v>
      </c>
      <c r="J59" s="23" t="s">
        <v>270</v>
      </c>
      <c r="K59" s="23" t="s">
        <v>271</v>
      </c>
      <c r="L59" s="17"/>
      <c r="M59" s="17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</row>
    <row r="60" spans="1:26" ht="15.75" customHeight="1" x14ac:dyDescent="0.2">
      <c r="A60" s="13"/>
      <c r="B60" s="22" t="s">
        <v>101</v>
      </c>
      <c r="C60" s="23" t="s">
        <v>272</v>
      </c>
      <c r="D60" s="23">
        <v>5170</v>
      </c>
      <c r="E60" s="23" t="s">
        <v>273</v>
      </c>
      <c r="F60" s="23" t="s">
        <v>274</v>
      </c>
      <c r="G60" s="23" t="s">
        <v>275</v>
      </c>
      <c r="H60" s="23">
        <v>5616</v>
      </c>
      <c r="I60" s="23" t="s">
        <v>276</v>
      </c>
      <c r="J60" s="23">
        <v>3960</v>
      </c>
      <c r="K60" s="23" t="s">
        <v>277</v>
      </c>
      <c r="L60" s="17"/>
      <c r="M60" s="17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26" ht="15.75" customHeight="1" x14ac:dyDescent="0.2">
      <c r="A61" s="13"/>
      <c r="B61" s="22" t="s">
        <v>109</v>
      </c>
      <c r="C61" s="23" t="s">
        <v>278</v>
      </c>
      <c r="D61" s="23" t="s">
        <v>279</v>
      </c>
      <c r="E61" s="23" t="s">
        <v>280</v>
      </c>
      <c r="F61" s="23" t="s">
        <v>281</v>
      </c>
      <c r="G61" s="23" t="s">
        <v>282</v>
      </c>
      <c r="H61" s="23">
        <v>7189</v>
      </c>
      <c r="I61" s="23" t="s">
        <v>283</v>
      </c>
      <c r="J61" s="23">
        <v>1460</v>
      </c>
      <c r="K61" s="23" t="s">
        <v>284</v>
      </c>
      <c r="L61" s="17"/>
      <c r="M61" s="17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26" ht="15.75" customHeight="1" x14ac:dyDescent="0.2">
      <c r="A62" s="13"/>
      <c r="B62" s="22" t="s">
        <v>114</v>
      </c>
      <c r="C62" s="23" t="s">
        <v>285</v>
      </c>
      <c r="D62" s="23" t="s">
        <v>286</v>
      </c>
      <c r="E62" s="23">
        <v>3330</v>
      </c>
      <c r="F62" s="23" t="s">
        <v>287</v>
      </c>
      <c r="G62" s="23">
        <v>2220</v>
      </c>
      <c r="H62" s="23">
        <v>3700</v>
      </c>
      <c r="I62" s="23">
        <v>2920</v>
      </c>
      <c r="J62" s="23" t="s">
        <v>288</v>
      </c>
      <c r="K62" s="23" t="s">
        <v>289</v>
      </c>
      <c r="L62" s="17"/>
      <c r="M62" s="17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26" ht="15.75" customHeight="1" x14ac:dyDescent="0.2">
      <c r="A63" s="13"/>
      <c r="B63" s="22" t="s">
        <v>118</v>
      </c>
      <c r="C63" s="23" t="s">
        <v>290</v>
      </c>
      <c r="D63" s="23" t="s">
        <v>291</v>
      </c>
      <c r="E63" s="23" t="s">
        <v>292</v>
      </c>
      <c r="F63" s="23" t="s">
        <v>293</v>
      </c>
      <c r="G63" s="23">
        <v>1540</v>
      </c>
      <c r="H63" s="23" t="s">
        <v>294</v>
      </c>
      <c r="I63" s="23">
        <v>4860</v>
      </c>
      <c r="J63" s="23">
        <v>2520</v>
      </c>
      <c r="K63" s="23" t="s">
        <v>295</v>
      </c>
      <c r="L63" s="17"/>
      <c r="M63" s="17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26" ht="15.75" customHeight="1" x14ac:dyDescent="0.2">
      <c r="A64" s="13"/>
      <c r="B64" s="22" t="s">
        <v>121</v>
      </c>
      <c r="C64" s="23">
        <v>765</v>
      </c>
      <c r="D64" s="23">
        <v>960</v>
      </c>
      <c r="E64" s="23">
        <v>1280</v>
      </c>
      <c r="F64" s="23" t="s">
        <v>296</v>
      </c>
      <c r="G64" s="23">
        <v>2560</v>
      </c>
      <c r="H64" s="23">
        <v>1880</v>
      </c>
      <c r="I64" s="23">
        <v>3200</v>
      </c>
      <c r="J64" s="23" t="s">
        <v>297</v>
      </c>
      <c r="K64" s="23" t="s">
        <v>298</v>
      </c>
      <c r="L64" s="17"/>
      <c r="M64" s="17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</row>
    <row r="65" spans="1:26" ht="15.75" customHeight="1" x14ac:dyDescent="0.2">
      <c r="A65" s="13"/>
      <c r="B65" s="22" t="s">
        <v>124</v>
      </c>
      <c r="C65" s="23">
        <v>1118</v>
      </c>
      <c r="D65" s="23">
        <v>1240</v>
      </c>
      <c r="E65" s="23">
        <v>3200</v>
      </c>
      <c r="F65" s="23">
        <v>1280</v>
      </c>
      <c r="G65" s="23">
        <v>1280</v>
      </c>
      <c r="H65" s="23">
        <v>670</v>
      </c>
      <c r="I65" s="23">
        <v>670</v>
      </c>
      <c r="J65" s="23">
        <v>1400</v>
      </c>
      <c r="K65" s="23">
        <v>10858</v>
      </c>
      <c r="L65" s="89" t="s">
        <v>47</v>
      </c>
      <c r="M65" s="89" t="s">
        <v>48</v>
      </c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</row>
    <row r="66" spans="1:26" ht="15.75" customHeight="1" x14ac:dyDescent="0.2">
      <c r="A66" s="13"/>
      <c r="B66" s="24" t="s">
        <v>299</v>
      </c>
      <c r="C66" s="25" t="s">
        <v>300</v>
      </c>
      <c r="D66" s="25" t="s">
        <v>301</v>
      </c>
      <c r="E66" s="25" t="s">
        <v>302</v>
      </c>
      <c r="F66" s="25" t="s">
        <v>303</v>
      </c>
      <c r="G66" s="25" t="s">
        <v>304</v>
      </c>
      <c r="H66" s="25" t="s">
        <v>305</v>
      </c>
      <c r="I66" s="25" t="s">
        <v>306</v>
      </c>
      <c r="J66" s="25" t="s">
        <v>307</v>
      </c>
      <c r="K66" s="25" t="s">
        <v>308</v>
      </c>
      <c r="L66" s="90" t="s">
        <v>309</v>
      </c>
      <c r="M66" s="90" t="s">
        <v>310</v>
      </c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  <c r="Z66" s="13"/>
    </row>
    <row r="67" spans="1:26" ht="15.75" customHeight="1" x14ac:dyDescent="0.2">
      <c r="A67" s="13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</row>
    <row r="68" spans="1:26" ht="15.75" customHeight="1" x14ac:dyDescent="0.2">
      <c r="A68" s="13"/>
      <c r="B68" s="70" t="s">
        <v>481</v>
      </c>
      <c r="C68" s="73">
        <f>+C66*0.4</f>
        <v>48751.484000000004</v>
      </c>
      <c r="D68" s="73">
        <f t="shared" ref="D68:M68" si="0">+D66*0.4</f>
        <v>38579.716</v>
      </c>
      <c r="E68" s="73">
        <f t="shared" si="0"/>
        <v>45693.256000000001</v>
      </c>
      <c r="F68" s="73">
        <f t="shared" si="0"/>
        <v>52670.771999999997</v>
      </c>
      <c r="G68" s="73">
        <f t="shared" si="0"/>
        <v>43128.216</v>
      </c>
      <c r="H68" s="73">
        <f t="shared" si="0"/>
        <v>49729.288</v>
      </c>
      <c r="I68" s="73">
        <f t="shared" si="0"/>
        <v>45916.224000000002</v>
      </c>
      <c r="J68" s="73">
        <f t="shared" si="0"/>
        <v>39244.9</v>
      </c>
      <c r="K68" s="73">
        <f t="shared" si="0"/>
        <v>363713.85600000003</v>
      </c>
      <c r="L68" s="73">
        <f t="shared" si="0"/>
        <v>60618.976000000002</v>
      </c>
      <c r="M68" s="73">
        <f t="shared" si="0"/>
        <v>727427.71200000006</v>
      </c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</row>
    <row r="69" spans="1:26" ht="15.75" customHeight="1" x14ac:dyDescent="0.2">
      <c r="A69" s="13"/>
      <c r="B69" s="71" t="s">
        <v>311</v>
      </c>
      <c r="C69" s="74">
        <f>+C68*0.16</f>
        <v>7800.2374400000008</v>
      </c>
      <c r="D69" s="74">
        <f t="shared" ref="D69:M69" si="1">+D68*0.16</f>
        <v>6172.7545600000003</v>
      </c>
      <c r="E69" s="74">
        <f t="shared" si="1"/>
        <v>7310.9209600000004</v>
      </c>
      <c r="F69" s="74">
        <f t="shared" si="1"/>
        <v>8427.3235199999999</v>
      </c>
      <c r="G69" s="74">
        <f t="shared" si="1"/>
        <v>6900.5145600000005</v>
      </c>
      <c r="H69" s="74">
        <f t="shared" si="1"/>
        <v>7956.6860800000004</v>
      </c>
      <c r="I69" s="74">
        <f t="shared" si="1"/>
        <v>7346.5958400000009</v>
      </c>
      <c r="J69" s="74">
        <f t="shared" si="1"/>
        <v>6279.1840000000002</v>
      </c>
      <c r="K69" s="74">
        <f t="shared" si="1"/>
        <v>58194.216960000005</v>
      </c>
      <c r="L69" s="74">
        <f t="shared" si="1"/>
        <v>9699.0361600000015</v>
      </c>
      <c r="M69" s="74">
        <f t="shared" si="1"/>
        <v>116388.43392000001</v>
      </c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26" ht="15.75" customHeight="1" x14ac:dyDescent="0.2">
      <c r="A70" s="13"/>
      <c r="B70" s="72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26" ht="15.75" customHeight="1" x14ac:dyDescent="0.2">
      <c r="A71" s="13"/>
      <c r="B71" s="71" t="s">
        <v>480</v>
      </c>
      <c r="C71" s="74">
        <f>+C66-C69</f>
        <v>114078.47256000001</v>
      </c>
      <c r="D71" s="74">
        <f t="shared" ref="D71:M71" si="2">+D66-D69</f>
        <v>90276.535439999992</v>
      </c>
      <c r="E71" s="74">
        <f t="shared" si="2"/>
        <v>106922.21904</v>
      </c>
      <c r="F71" s="74">
        <f t="shared" si="2"/>
        <v>123249.60647999999</v>
      </c>
      <c r="G71" s="74">
        <f t="shared" si="2"/>
        <v>100920.02544</v>
      </c>
      <c r="H71" s="74">
        <f t="shared" si="2"/>
        <v>116366.53392</v>
      </c>
      <c r="I71" s="74">
        <f t="shared" si="2"/>
        <v>107443.96416</v>
      </c>
      <c r="J71" s="74">
        <f t="shared" si="2"/>
        <v>91833.066000000006</v>
      </c>
      <c r="K71" s="74">
        <f t="shared" si="2"/>
        <v>851090.42304000002</v>
      </c>
      <c r="L71" s="74">
        <f t="shared" si="2"/>
        <v>141848.40384000001</v>
      </c>
      <c r="M71" s="74">
        <f t="shared" si="2"/>
        <v>1702180.84608</v>
      </c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26" ht="15.75" customHeight="1" x14ac:dyDescent="0.2">
      <c r="A72" s="13"/>
      <c r="B72" s="72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26" ht="15.75" customHeight="1" x14ac:dyDescent="0.2">
      <c r="A73" s="13"/>
      <c r="B73" s="71" t="s">
        <v>482</v>
      </c>
      <c r="C73" s="74">
        <f>+C71*0.5</f>
        <v>57039.236280000005</v>
      </c>
      <c r="D73" s="74">
        <f t="shared" ref="D73:M73" si="3">+D71*0.5</f>
        <v>45138.267719999996</v>
      </c>
      <c r="E73" s="74">
        <f t="shared" si="3"/>
        <v>53461.109519999998</v>
      </c>
      <c r="F73" s="74">
        <f t="shared" si="3"/>
        <v>61624.803239999994</v>
      </c>
      <c r="G73" s="74">
        <f t="shared" si="3"/>
        <v>50460.012719999999</v>
      </c>
      <c r="H73" s="74">
        <f t="shared" si="3"/>
        <v>58183.266960000001</v>
      </c>
      <c r="I73" s="74">
        <f t="shared" si="3"/>
        <v>53721.982080000002</v>
      </c>
      <c r="J73" s="74">
        <f t="shared" si="3"/>
        <v>45916.533000000003</v>
      </c>
      <c r="K73" s="74">
        <f t="shared" si="3"/>
        <v>425545.21152000001</v>
      </c>
      <c r="L73" s="74">
        <f t="shared" si="3"/>
        <v>70924.201920000007</v>
      </c>
      <c r="M73" s="74">
        <f t="shared" si="3"/>
        <v>851090.42304000002</v>
      </c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26" ht="15.75" customHeight="1" x14ac:dyDescent="0.2">
      <c r="A74" s="13"/>
      <c r="B74" s="72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26" ht="15.75" customHeight="1" x14ac:dyDescent="0.2">
      <c r="A75" s="13"/>
      <c r="B75" s="71" t="s">
        <v>483</v>
      </c>
      <c r="C75" s="74">
        <f>+C71-C73</f>
        <v>57039.236280000005</v>
      </c>
      <c r="D75" s="74">
        <f t="shared" ref="D75:M75" si="4">+D71-D73</f>
        <v>45138.267719999996</v>
      </c>
      <c r="E75" s="74">
        <f t="shared" si="4"/>
        <v>53461.109519999998</v>
      </c>
      <c r="F75" s="74">
        <f t="shared" si="4"/>
        <v>61624.803239999994</v>
      </c>
      <c r="G75" s="74">
        <f t="shared" si="4"/>
        <v>50460.012719999999</v>
      </c>
      <c r="H75" s="74">
        <f t="shared" si="4"/>
        <v>58183.266960000001</v>
      </c>
      <c r="I75" s="74">
        <f t="shared" si="4"/>
        <v>53721.982080000002</v>
      </c>
      <c r="J75" s="74">
        <f t="shared" si="4"/>
        <v>45916.533000000003</v>
      </c>
      <c r="K75" s="74">
        <f t="shared" si="4"/>
        <v>425545.21152000001</v>
      </c>
      <c r="L75" s="74">
        <f t="shared" si="4"/>
        <v>70924.201920000007</v>
      </c>
      <c r="M75" s="74">
        <f t="shared" si="4"/>
        <v>851090.42304000002</v>
      </c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26" ht="15.75" customHeight="1" x14ac:dyDescent="0.2">
      <c r="A76" s="13"/>
      <c r="B76" s="72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26" ht="15.75" customHeight="1" x14ac:dyDescent="0.2">
      <c r="A77" s="13"/>
      <c r="B77" s="71" t="s">
        <v>484</v>
      </c>
      <c r="C77" s="74">
        <v>7387.67</v>
      </c>
      <c r="D77" s="74">
        <v>7387.67</v>
      </c>
      <c r="E77" s="74">
        <v>7387.67</v>
      </c>
      <c r="F77" s="74">
        <v>7387.67</v>
      </c>
      <c r="G77" s="74">
        <v>7387.67</v>
      </c>
      <c r="H77" s="74">
        <v>7387.67</v>
      </c>
      <c r="I77" s="74">
        <v>7387.67</v>
      </c>
      <c r="J77" s="74">
        <v>7387.67</v>
      </c>
      <c r="K77" s="74">
        <f>SUM(C77:J77)</f>
        <v>59101.359999999993</v>
      </c>
      <c r="L77" s="74">
        <f>+K77/6</f>
        <v>9850.2266666666656</v>
      </c>
      <c r="M77" s="74">
        <f>+L77*12</f>
        <v>118202.71999999999</v>
      </c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26" ht="15.75" customHeight="1" x14ac:dyDescent="0.2">
      <c r="A78" s="13"/>
      <c r="B78" s="71" t="s">
        <v>485</v>
      </c>
      <c r="C78" s="74">
        <v>0</v>
      </c>
      <c r="D78" s="74">
        <v>0</v>
      </c>
      <c r="E78" s="74">
        <v>0</v>
      </c>
      <c r="F78" s="74">
        <v>0</v>
      </c>
      <c r="G78" s="74">
        <v>0</v>
      </c>
      <c r="H78" s="74">
        <v>0</v>
      </c>
      <c r="I78" s="74">
        <v>0</v>
      </c>
      <c r="J78" s="74">
        <v>0</v>
      </c>
      <c r="K78" s="74">
        <f t="shared" ref="K78:K80" si="5">SUM(C78:J78)</f>
        <v>0</v>
      </c>
      <c r="L78" s="74">
        <f>+K78/6</f>
        <v>0</v>
      </c>
      <c r="M78" s="74">
        <f>+L78*12</f>
        <v>0</v>
      </c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26" ht="15.75" customHeight="1" x14ac:dyDescent="0.2">
      <c r="A79" s="13"/>
      <c r="B79" s="71" t="s">
        <v>486</v>
      </c>
      <c r="C79" s="74">
        <v>4000</v>
      </c>
      <c r="D79" s="74">
        <v>4000</v>
      </c>
      <c r="E79" s="74">
        <v>4000</v>
      </c>
      <c r="F79" s="74">
        <v>4000</v>
      </c>
      <c r="G79" s="74">
        <v>4000</v>
      </c>
      <c r="H79" s="74">
        <v>4000</v>
      </c>
      <c r="I79" s="74">
        <v>4000</v>
      </c>
      <c r="J79" s="74">
        <v>4000</v>
      </c>
      <c r="K79" s="74">
        <f t="shared" si="5"/>
        <v>32000</v>
      </c>
      <c r="L79" s="74">
        <f>+K79/6</f>
        <v>5333.333333333333</v>
      </c>
      <c r="M79" s="74">
        <f>+L79*12</f>
        <v>64000</v>
      </c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26" ht="15.75" customHeight="1" x14ac:dyDescent="0.2">
      <c r="A80" s="13"/>
      <c r="B80" s="71" t="s">
        <v>487</v>
      </c>
      <c r="C80" s="74">
        <f>0.1*C66</f>
        <v>12187.871000000001</v>
      </c>
      <c r="D80" s="74">
        <f t="shared" ref="D80:J80" si="6">0.1*D66</f>
        <v>9644.9290000000001</v>
      </c>
      <c r="E80" s="74">
        <f t="shared" si="6"/>
        <v>11423.314</v>
      </c>
      <c r="F80" s="74">
        <f t="shared" si="6"/>
        <v>13167.692999999999</v>
      </c>
      <c r="G80" s="74">
        <f t="shared" si="6"/>
        <v>10782.054</v>
      </c>
      <c r="H80" s="74">
        <f t="shared" si="6"/>
        <v>12432.322</v>
      </c>
      <c r="I80" s="74">
        <f t="shared" si="6"/>
        <v>11479.056</v>
      </c>
      <c r="J80" s="74">
        <f t="shared" si="6"/>
        <v>9811.2250000000004</v>
      </c>
      <c r="K80" s="74">
        <f t="shared" si="5"/>
        <v>90928.464000000007</v>
      </c>
      <c r="L80" s="74">
        <f>+K80/6</f>
        <v>15154.744000000001</v>
      </c>
      <c r="M80" s="74">
        <f>+L80*12</f>
        <v>181856.92800000001</v>
      </c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44" ht="15.75" customHeight="1" x14ac:dyDescent="0.2">
      <c r="A81" s="13"/>
      <c r="B81" s="72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44" ht="15.75" customHeight="1" x14ac:dyDescent="0.2">
      <c r="A82" s="13"/>
      <c r="B82" s="71" t="s">
        <v>489</v>
      </c>
      <c r="C82" s="74">
        <f>SUM(C77:C81)</f>
        <v>23575.541000000001</v>
      </c>
      <c r="D82" s="74">
        <f t="shared" ref="D82:K82" si="7">SUM(D77:D81)</f>
        <v>21032.599000000002</v>
      </c>
      <c r="E82" s="74">
        <f t="shared" si="7"/>
        <v>22810.984</v>
      </c>
      <c r="F82" s="74">
        <f t="shared" si="7"/>
        <v>24555.362999999998</v>
      </c>
      <c r="G82" s="74">
        <f t="shared" si="7"/>
        <v>22169.724000000002</v>
      </c>
      <c r="H82" s="74">
        <f t="shared" si="7"/>
        <v>23819.991999999998</v>
      </c>
      <c r="I82" s="74">
        <f t="shared" si="7"/>
        <v>22866.726000000002</v>
      </c>
      <c r="J82" s="74">
        <f t="shared" si="7"/>
        <v>21198.895</v>
      </c>
      <c r="K82" s="74">
        <f t="shared" si="7"/>
        <v>182029.82399999999</v>
      </c>
      <c r="L82" s="74">
        <f t="shared" ref="L82" si="8">SUM(L77:L81)</f>
        <v>30338.303999999996</v>
      </c>
      <c r="M82" s="74">
        <f t="shared" ref="M82" si="9">SUM(M77:M81)</f>
        <v>364059.64799999999</v>
      </c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44" ht="15.75" customHeight="1" x14ac:dyDescent="0.2">
      <c r="A83" s="13"/>
      <c r="B83" s="72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44" ht="15.75" customHeight="1" x14ac:dyDescent="0.2">
      <c r="A84" s="13"/>
      <c r="B84" s="71" t="s">
        <v>488</v>
      </c>
      <c r="C84" s="74">
        <f>+C75-C82</f>
        <v>33463.69528</v>
      </c>
      <c r="D84" s="74">
        <f t="shared" ref="D84:M84" si="10">+D75-D82</f>
        <v>24105.668719999994</v>
      </c>
      <c r="E84" s="74">
        <f t="shared" si="10"/>
        <v>30650.125519999998</v>
      </c>
      <c r="F84" s="74">
        <f t="shared" si="10"/>
        <v>37069.440239999996</v>
      </c>
      <c r="G84" s="74">
        <f t="shared" si="10"/>
        <v>28290.288719999997</v>
      </c>
      <c r="H84" s="74">
        <f t="shared" si="10"/>
        <v>34363.274960000002</v>
      </c>
      <c r="I84" s="74">
        <f t="shared" si="10"/>
        <v>30855.256079999999</v>
      </c>
      <c r="J84" s="74">
        <f t="shared" si="10"/>
        <v>24717.638000000003</v>
      </c>
      <c r="K84" s="74">
        <f t="shared" si="10"/>
        <v>243515.38752000002</v>
      </c>
      <c r="L84" s="74">
        <f t="shared" si="10"/>
        <v>40585.89792000001</v>
      </c>
      <c r="M84" s="74">
        <f t="shared" si="10"/>
        <v>487030.77504000004</v>
      </c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44" ht="15.75" customHeigh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44" ht="9" customHeight="1" x14ac:dyDescent="0.2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44" ht="24" customHeight="1" x14ac:dyDescent="0.3">
      <c r="A87" s="14" t="s">
        <v>491</v>
      </c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44" ht="15.75" customHeight="1" x14ac:dyDescent="0.2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44" ht="15.75" customHeight="1" x14ac:dyDescent="0.2">
      <c r="A89" s="82" t="s">
        <v>511</v>
      </c>
      <c r="B89" s="66"/>
      <c r="C89" s="104" t="s">
        <v>497</v>
      </c>
      <c r="D89" s="104"/>
      <c r="E89" s="105"/>
      <c r="F89" s="104" t="s">
        <v>499</v>
      </c>
      <c r="G89" s="104"/>
      <c r="H89" s="105"/>
      <c r="I89" s="104" t="s">
        <v>500</v>
      </c>
      <c r="J89" s="104"/>
      <c r="K89" s="105"/>
      <c r="L89" s="104" t="s">
        <v>501</v>
      </c>
      <c r="M89" s="104"/>
      <c r="N89" s="105"/>
      <c r="O89" s="104" t="s">
        <v>502</v>
      </c>
      <c r="P89" s="104"/>
      <c r="Q89" s="105"/>
      <c r="R89" s="104" t="s">
        <v>503</v>
      </c>
      <c r="S89" s="104"/>
      <c r="T89" s="105"/>
      <c r="U89" s="104" t="s">
        <v>504</v>
      </c>
      <c r="V89" s="104"/>
      <c r="W89" s="105"/>
      <c r="X89" s="104" t="s">
        <v>505</v>
      </c>
      <c r="Y89" s="104"/>
      <c r="Z89" s="105"/>
      <c r="AA89" s="106" t="s">
        <v>506</v>
      </c>
      <c r="AB89" s="106"/>
      <c r="AC89" s="107"/>
      <c r="AD89" s="106" t="s">
        <v>507</v>
      </c>
      <c r="AE89" s="106"/>
      <c r="AF89" s="107"/>
      <c r="AG89" s="106" t="s">
        <v>508</v>
      </c>
      <c r="AH89" s="106"/>
      <c r="AI89" s="107"/>
      <c r="AJ89" s="106" t="s">
        <v>509</v>
      </c>
      <c r="AK89" s="106"/>
      <c r="AL89" s="108"/>
      <c r="AM89" s="97" t="s">
        <v>18</v>
      </c>
      <c r="AN89" s="92"/>
    </row>
    <row r="90" spans="1:44" ht="15.75" customHeight="1" x14ac:dyDescent="0.2">
      <c r="A90" s="13"/>
      <c r="B90" s="13"/>
      <c r="C90" s="83" t="s">
        <v>330</v>
      </c>
      <c r="D90" s="83" t="s">
        <v>498</v>
      </c>
      <c r="E90" s="109" t="s">
        <v>18</v>
      </c>
      <c r="F90" s="83" t="s">
        <v>330</v>
      </c>
      <c r="G90" s="83" t="s">
        <v>498</v>
      </c>
      <c r="H90" s="109" t="s">
        <v>18</v>
      </c>
      <c r="I90" s="83" t="s">
        <v>330</v>
      </c>
      <c r="J90" s="83" t="s">
        <v>498</v>
      </c>
      <c r="K90" s="109" t="s">
        <v>18</v>
      </c>
      <c r="L90" s="83" t="s">
        <v>330</v>
      </c>
      <c r="M90" s="83" t="s">
        <v>498</v>
      </c>
      <c r="N90" s="109" t="s">
        <v>18</v>
      </c>
      <c r="O90" s="83" t="s">
        <v>330</v>
      </c>
      <c r="P90" s="83" t="s">
        <v>498</v>
      </c>
      <c r="Q90" s="109" t="s">
        <v>18</v>
      </c>
      <c r="R90" s="83" t="s">
        <v>330</v>
      </c>
      <c r="S90" s="83" t="s">
        <v>498</v>
      </c>
      <c r="T90" s="109" t="s">
        <v>18</v>
      </c>
      <c r="U90" s="83" t="s">
        <v>330</v>
      </c>
      <c r="V90" s="83" t="s">
        <v>498</v>
      </c>
      <c r="W90" s="109" t="s">
        <v>18</v>
      </c>
      <c r="X90" s="83" t="s">
        <v>330</v>
      </c>
      <c r="Y90" s="83" t="s">
        <v>498</v>
      </c>
      <c r="Z90" s="109" t="s">
        <v>18</v>
      </c>
      <c r="AA90" s="83" t="s">
        <v>330</v>
      </c>
      <c r="AB90" s="83" t="s">
        <v>498</v>
      </c>
      <c r="AC90" s="109" t="s">
        <v>18</v>
      </c>
      <c r="AD90" s="83" t="s">
        <v>330</v>
      </c>
      <c r="AE90" s="83" t="s">
        <v>498</v>
      </c>
      <c r="AF90" s="109" t="s">
        <v>18</v>
      </c>
      <c r="AG90" s="83" t="s">
        <v>330</v>
      </c>
      <c r="AH90" s="83" t="s">
        <v>498</v>
      </c>
      <c r="AI90" s="109" t="s">
        <v>18</v>
      </c>
      <c r="AJ90" s="83" t="s">
        <v>330</v>
      </c>
      <c r="AK90" s="83" t="s">
        <v>498</v>
      </c>
      <c r="AL90" s="95" t="s">
        <v>18</v>
      </c>
      <c r="AM90" s="98" t="s">
        <v>510</v>
      </c>
      <c r="AN90" s="93" t="s">
        <v>330</v>
      </c>
      <c r="AP90" t="s">
        <v>555</v>
      </c>
      <c r="AQ90" t="s">
        <v>556</v>
      </c>
      <c r="AR90" t="s">
        <v>557</v>
      </c>
    </row>
    <row r="91" spans="1:44" ht="15.75" customHeight="1" x14ac:dyDescent="0.2">
      <c r="A91" s="13"/>
      <c r="B91" s="62" t="s">
        <v>492</v>
      </c>
      <c r="C91" s="150">
        <f>+AP91/12</f>
        <v>27</v>
      </c>
      <c r="D91" s="13">
        <v>330</v>
      </c>
      <c r="E91" s="67">
        <f>+D91*C91</f>
        <v>8910</v>
      </c>
      <c r="F91" s="150">
        <f>+AP91/12</f>
        <v>27</v>
      </c>
      <c r="G91" s="13">
        <v>330</v>
      </c>
      <c r="H91" s="67">
        <f>+G91*F91</f>
        <v>8910</v>
      </c>
      <c r="I91" s="150">
        <f>+AP91/12</f>
        <v>27</v>
      </c>
      <c r="J91" s="13">
        <v>330</v>
      </c>
      <c r="K91" s="67">
        <f>+J91*I91</f>
        <v>8910</v>
      </c>
      <c r="L91" s="150">
        <f>+AP91/12</f>
        <v>27</v>
      </c>
      <c r="M91" s="13">
        <v>330</v>
      </c>
      <c r="N91" s="67">
        <f>+M91*L91</f>
        <v>8910</v>
      </c>
      <c r="O91" s="150">
        <f>+AP91/12</f>
        <v>27</v>
      </c>
      <c r="P91" s="13">
        <v>330</v>
      </c>
      <c r="Q91" s="67">
        <f>+O91*P91</f>
        <v>8910</v>
      </c>
      <c r="R91" s="150">
        <f>+AP91/12</f>
        <v>27</v>
      </c>
      <c r="S91" s="13">
        <v>330</v>
      </c>
      <c r="T91" s="67">
        <f>+S91*R91</f>
        <v>8910</v>
      </c>
      <c r="U91" s="150">
        <f>+AP91/12</f>
        <v>27</v>
      </c>
      <c r="V91" s="13">
        <v>330</v>
      </c>
      <c r="W91" s="67">
        <f>+V91*U91</f>
        <v>8910</v>
      </c>
      <c r="X91" s="150">
        <f>+AP91/12</f>
        <v>27</v>
      </c>
      <c r="Y91" s="13">
        <v>330</v>
      </c>
      <c r="Z91" s="67">
        <f>+Y91*X91</f>
        <v>8910</v>
      </c>
      <c r="AA91" s="150">
        <f>+AP91/12</f>
        <v>27</v>
      </c>
      <c r="AB91" s="13">
        <v>330</v>
      </c>
      <c r="AC91" s="68">
        <f>+AB91*AA91</f>
        <v>8910</v>
      </c>
      <c r="AD91" s="150">
        <f>+AP91/12</f>
        <v>27</v>
      </c>
      <c r="AE91" s="13">
        <v>330</v>
      </c>
      <c r="AF91" s="68">
        <f>+AE91*AD91</f>
        <v>8910</v>
      </c>
      <c r="AG91" s="150">
        <f>+AP91/12</f>
        <v>27</v>
      </c>
      <c r="AH91" s="13">
        <v>330</v>
      </c>
      <c r="AI91" s="68">
        <f>+AH91*AG91</f>
        <v>8910</v>
      </c>
      <c r="AJ91" s="150">
        <f>+AP91/12</f>
        <v>27</v>
      </c>
      <c r="AK91" s="13">
        <v>330</v>
      </c>
      <c r="AL91" s="94">
        <f>+AK91*AJ91</f>
        <v>8910</v>
      </c>
      <c r="AM91" s="99">
        <f>+AL91+AI91+AF91+AC91+Z91+W91+T91+Q91+N91+K91+H91+E91</f>
        <v>106920</v>
      </c>
      <c r="AN91" s="64">
        <f>+AJ91+AG91+AD91+AA91+X91+U91+R91+O91+L91+I91+F91+C91</f>
        <v>324</v>
      </c>
      <c r="AP91" s="63">
        <v>324</v>
      </c>
      <c r="AQ91" s="135">
        <f>+AP91/12</f>
        <v>27</v>
      </c>
      <c r="AR91" s="149"/>
    </row>
    <row r="92" spans="1:44" ht="15.75" customHeight="1" x14ac:dyDescent="0.2">
      <c r="A92" s="13"/>
      <c r="B92" s="62" t="s">
        <v>492</v>
      </c>
      <c r="C92" s="150">
        <f t="shared" ref="C92:C101" si="11">+AP92/12</f>
        <v>37.333333333333336</v>
      </c>
      <c r="D92" s="13">
        <v>660</v>
      </c>
      <c r="E92" s="67">
        <f t="shared" ref="E92:E101" si="12">+D92*C92</f>
        <v>24640</v>
      </c>
      <c r="F92" s="150">
        <f t="shared" ref="F92:F101" si="13">+AP92/12</f>
        <v>37.333333333333336</v>
      </c>
      <c r="G92" s="13">
        <v>660</v>
      </c>
      <c r="H92" s="67">
        <f t="shared" ref="H92:H101" si="14">+G92*F92</f>
        <v>24640</v>
      </c>
      <c r="I92" s="150">
        <f t="shared" ref="I92:I101" si="15">+AP92/12</f>
        <v>37.333333333333336</v>
      </c>
      <c r="J92" s="13">
        <v>660</v>
      </c>
      <c r="K92" s="67">
        <f t="shared" ref="K92:K101" si="16">+J92*I92</f>
        <v>24640</v>
      </c>
      <c r="L92" s="150">
        <f t="shared" ref="L92:L101" si="17">+AP92/12</f>
        <v>37.333333333333336</v>
      </c>
      <c r="M92" s="13">
        <v>660</v>
      </c>
      <c r="N92" s="67">
        <f t="shared" ref="N92:N101" si="18">+M92*L92</f>
        <v>24640</v>
      </c>
      <c r="O92" s="150">
        <f t="shared" ref="O92:O101" si="19">+AP92/12</f>
        <v>37.333333333333336</v>
      </c>
      <c r="P92" s="13">
        <v>660</v>
      </c>
      <c r="Q92" s="67">
        <f t="shared" ref="Q92:Q101" si="20">+O92*P92</f>
        <v>24640</v>
      </c>
      <c r="R92" s="150">
        <f t="shared" ref="R92:R101" si="21">+AP92/12</f>
        <v>37.333333333333336</v>
      </c>
      <c r="S92" s="13">
        <v>660</v>
      </c>
      <c r="T92" s="67">
        <f t="shared" ref="T92:T101" si="22">+S92*R92</f>
        <v>24640</v>
      </c>
      <c r="U92" s="150">
        <f t="shared" ref="U92:U101" si="23">+AP92/12</f>
        <v>37.333333333333336</v>
      </c>
      <c r="V92" s="13">
        <v>660</v>
      </c>
      <c r="W92" s="67">
        <f t="shared" ref="W92:W101" si="24">+V92*U92</f>
        <v>24640</v>
      </c>
      <c r="X92" s="150">
        <f t="shared" ref="X92:X101" si="25">+AP92/12</f>
        <v>37.333333333333336</v>
      </c>
      <c r="Y92" s="13">
        <v>660</v>
      </c>
      <c r="Z92" s="67">
        <f t="shared" ref="Z92:Z101" si="26">+Y92*X92</f>
        <v>24640</v>
      </c>
      <c r="AA92" s="150">
        <f t="shared" ref="AA92:AA101" si="27">+AP92/12</f>
        <v>37.333333333333336</v>
      </c>
      <c r="AB92" s="13">
        <v>660</v>
      </c>
      <c r="AC92" s="68">
        <f t="shared" ref="AC92:AC101" si="28">+AB92*AA92</f>
        <v>24640</v>
      </c>
      <c r="AD92" s="150">
        <f t="shared" ref="AD92:AD101" si="29">+AP92/12</f>
        <v>37.333333333333336</v>
      </c>
      <c r="AE92" s="13">
        <v>660</v>
      </c>
      <c r="AF92" s="68">
        <f t="shared" ref="AF92:AF101" si="30">+AE92*AD92</f>
        <v>24640</v>
      </c>
      <c r="AG92" s="150">
        <f t="shared" ref="AG92:AG101" si="31">+AP92/12</f>
        <v>37.333333333333336</v>
      </c>
      <c r="AH92" s="13">
        <v>660</v>
      </c>
      <c r="AI92" s="68">
        <f t="shared" ref="AI92:AI101" si="32">+AH92*AG92</f>
        <v>24640</v>
      </c>
      <c r="AJ92" s="150">
        <f t="shared" ref="AJ92:AJ101" si="33">+AP92/12</f>
        <v>37.333333333333336</v>
      </c>
      <c r="AK92" s="13">
        <v>660</v>
      </c>
      <c r="AL92" s="94">
        <f t="shared" ref="AL92:AL101" si="34">+AK92*AJ92</f>
        <v>24640</v>
      </c>
      <c r="AM92" s="99">
        <f t="shared" ref="AM92:AM101" si="35">+AL92+AI92+AF92+AC92+Z92+W92+T92+Q92+N92+K92+H92+E92</f>
        <v>295680</v>
      </c>
      <c r="AN92" s="64">
        <f t="shared" ref="AN92:AN101" si="36">+AJ92+AG92+AD92+AA92+X92+U92+R92+O92+L92+I92+F92+C92</f>
        <v>447.99999999999994</v>
      </c>
      <c r="AP92" s="63">
        <v>448</v>
      </c>
      <c r="AQ92" s="135">
        <f t="shared" ref="AQ92:AQ101" si="37">+AP92/12</f>
        <v>37.333333333333336</v>
      </c>
    </row>
    <row r="93" spans="1:44" ht="15.75" customHeight="1" x14ac:dyDescent="0.2">
      <c r="A93" s="13"/>
      <c r="B93" s="62" t="s">
        <v>493</v>
      </c>
      <c r="C93" s="150">
        <f t="shared" si="11"/>
        <v>11</v>
      </c>
      <c r="D93" s="13">
        <v>420</v>
      </c>
      <c r="E93" s="67">
        <f t="shared" si="12"/>
        <v>4620</v>
      </c>
      <c r="F93" s="150">
        <f t="shared" si="13"/>
        <v>11</v>
      </c>
      <c r="G93" s="13">
        <v>420</v>
      </c>
      <c r="H93" s="67">
        <f t="shared" si="14"/>
        <v>4620</v>
      </c>
      <c r="I93" s="150">
        <f t="shared" si="15"/>
        <v>11</v>
      </c>
      <c r="J93" s="13">
        <v>420</v>
      </c>
      <c r="K93" s="67">
        <f t="shared" si="16"/>
        <v>4620</v>
      </c>
      <c r="L93" s="150">
        <f t="shared" si="17"/>
        <v>11</v>
      </c>
      <c r="M93" s="13">
        <v>420</v>
      </c>
      <c r="N93" s="67">
        <f t="shared" si="18"/>
        <v>4620</v>
      </c>
      <c r="O93" s="150">
        <f t="shared" si="19"/>
        <v>11</v>
      </c>
      <c r="P93" s="13">
        <v>420</v>
      </c>
      <c r="Q93" s="67">
        <f t="shared" si="20"/>
        <v>4620</v>
      </c>
      <c r="R93" s="150">
        <f t="shared" si="21"/>
        <v>11</v>
      </c>
      <c r="S93" s="13">
        <v>420</v>
      </c>
      <c r="T93" s="67">
        <f t="shared" si="22"/>
        <v>4620</v>
      </c>
      <c r="U93" s="150">
        <f t="shared" si="23"/>
        <v>11</v>
      </c>
      <c r="V93" s="13">
        <v>420</v>
      </c>
      <c r="W93" s="67">
        <f t="shared" si="24"/>
        <v>4620</v>
      </c>
      <c r="X93" s="150">
        <f t="shared" si="25"/>
        <v>11</v>
      </c>
      <c r="Y93" s="13">
        <v>420</v>
      </c>
      <c r="Z93" s="67">
        <f t="shared" si="26"/>
        <v>4620</v>
      </c>
      <c r="AA93" s="150">
        <f t="shared" si="27"/>
        <v>11</v>
      </c>
      <c r="AB93" s="13">
        <v>420</v>
      </c>
      <c r="AC93" s="68">
        <f t="shared" si="28"/>
        <v>4620</v>
      </c>
      <c r="AD93" s="150">
        <f t="shared" si="29"/>
        <v>11</v>
      </c>
      <c r="AE93" s="13">
        <v>420</v>
      </c>
      <c r="AF93" s="68">
        <f t="shared" si="30"/>
        <v>4620</v>
      </c>
      <c r="AG93" s="150">
        <f t="shared" si="31"/>
        <v>11</v>
      </c>
      <c r="AH93" s="13">
        <v>420</v>
      </c>
      <c r="AI93" s="68">
        <f t="shared" si="32"/>
        <v>4620</v>
      </c>
      <c r="AJ93" s="150">
        <f t="shared" si="33"/>
        <v>11</v>
      </c>
      <c r="AK93" s="13">
        <v>420</v>
      </c>
      <c r="AL93" s="94">
        <f t="shared" si="34"/>
        <v>4620</v>
      </c>
      <c r="AM93" s="99">
        <f t="shared" si="35"/>
        <v>55440</v>
      </c>
      <c r="AN93" s="64">
        <f t="shared" si="36"/>
        <v>132</v>
      </c>
      <c r="AP93" s="63">
        <v>132</v>
      </c>
      <c r="AQ93" s="135">
        <f t="shared" si="37"/>
        <v>11</v>
      </c>
    </row>
    <row r="94" spans="1:44" ht="15.75" customHeight="1" x14ac:dyDescent="0.2">
      <c r="A94" s="13"/>
      <c r="B94" s="62" t="s">
        <v>493</v>
      </c>
      <c r="C94" s="150">
        <f t="shared" si="11"/>
        <v>14.5</v>
      </c>
      <c r="D94" s="13">
        <v>840</v>
      </c>
      <c r="E94" s="67">
        <f t="shared" si="12"/>
        <v>12180</v>
      </c>
      <c r="F94" s="150">
        <f t="shared" si="13"/>
        <v>14.5</v>
      </c>
      <c r="G94" s="13">
        <v>840</v>
      </c>
      <c r="H94" s="67">
        <f t="shared" si="14"/>
        <v>12180</v>
      </c>
      <c r="I94" s="150">
        <f t="shared" si="15"/>
        <v>14.5</v>
      </c>
      <c r="J94" s="13">
        <v>840</v>
      </c>
      <c r="K94" s="67">
        <f t="shared" si="16"/>
        <v>12180</v>
      </c>
      <c r="L94" s="150">
        <f t="shared" si="17"/>
        <v>14.5</v>
      </c>
      <c r="M94" s="13">
        <v>840</v>
      </c>
      <c r="N94" s="67">
        <f t="shared" si="18"/>
        <v>12180</v>
      </c>
      <c r="O94" s="150">
        <f t="shared" si="19"/>
        <v>14.5</v>
      </c>
      <c r="P94" s="13">
        <v>840</v>
      </c>
      <c r="Q94" s="67">
        <f t="shared" si="20"/>
        <v>12180</v>
      </c>
      <c r="R94" s="150">
        <f t="shared" si="21"/>
        <v>14.5</v>
      </c>
      <c r="S94" s="13">
        <v>840</v>
      </c>
      <c r="T94" s="67">
        <f t="shared" si="22"/>
        <v>12180</v>
      </c>
      <c r="U94" s="150">
        <f t="shared" si="23"/>
        <v>14.5</v>
      </c>
      <c r="V94" s="13">
        <v>840</v>
      </c>
      <c r="W94" s="67">
        <f t="shared" si="24"/>
        <v>12180</v>
      </c>
      <c r="X94" s="150">
        <f t="shared" si="25"/>
        <v>14.5</v>
      </c>
      <c r="Y94" s="13">
        <v>840</v>
      </c>
      <c r="Z94" s="67">
        <f t="shared" si="26"/>
        <v>12180</v>
      </c>
      <c r="AA94" s="150">
        <f t="shared" si="27"/>
        <v>14.5</v>
      </c>
      <c r="AB94" s="13">
        <v>840</v>
      </c>
      <c r="AC94" s="68">
        <f t="shared" si="28"/>
        <v>12180</v>
      </c>
      <c r="AD94" s="150">
        <f t="shared" si="29"/>
        <v>14.5</v>
      </c>
      <c r="AE94" s="13">
        <v>840</v>
      </c>
      <c r="AF94" s="68">
        <f t="shared" si="30"/>
        <v>12180</v>
      </c>
      <c r="AG94" s="150">
        <f t="shared" si="31"/>
        <v>14.5</v>
      </c>
      <c r="AH94" s="13">
        <v>840</v>
      </c>
      <c r="AI94" s="68">
        <f t="shared" si="32"/>
        <v>12180</v>
      </c>
      <c r="AJ94" s="150">
        <f t="shared" si="33"/>
        <v>14.5</v>
      </c>
      <c r="AK94" s="13">
        <v>840</v>
      </c>
      <c r="AL94" s="94">
        <f t="shared" si="34"/>
        <v>12180</v>
      </c>
      <c r="AM94" s="99">
        <f t="shared" si="35"/>
        <v>146160</v>
      </c>
      <c r="AN94" s="64">
        <f t="shared" si="36"/>
        <v>174</v>
      </c>
      <c r="AP94" s="63">
        <v>174</v>
      </c>
      <c r="AQ94" s="135">
        <f t="shared" si="37"/>
        <v>14.5</v>
      </c>
    </row>
    <row r="95" spans="1:44" ht="15.75" customHeight="1" x14ac:dyDescent="0.2">
      <c r="A95" s="13"/>
      <c r="B95" s="62" t="s">
        <v>494</v>
      </c>
      <c r="C95" s="150">
        <f t="shared" si="11"/>
        <v>8.5833333333333339</v>
      </c>
      <c r="D95" s="13">
        <v>330</v>
      </c>
      <c r="E95" s="67">
        <f t="shared" si="12"/>
        <v>2832.5</v>
      </c>
      <c r="F95" s="150">
        <f t="shared" si="13"/>
        <v>8.5833333333333339</v>
      </c>
      <c r="G95" s="13">
        <v>330</v>
      </c>
      <c r="H95" s="67">
        <f t="shared" si="14"/>
        <v>2832.5</v>
      </c>
      <c r="I95" s="150">
        <f t="shared" si="15"/>
        <v>8.5833333333333339</v>
      </c>
      <c r="J95" s="13">
        <v>330</v>
      </c>
      <c r="K95" s="67">
        <f t="shared" si="16"/>
        <v>2832.5</v>
      </c>
      <c r="L95" s="150">
        <f t="shared" si="17"/>
        <v>8.5833333333333339</v>
      </c>
      <c r="M95" s="13">
        <v>330</v>
      </c>
      <c r="N95" s="67">
        <f t="shared" si="18"/>
        <v>2832.5</v>
      </c>
      <c r="O95" s="150">
        <f t="shared" si="19"/>
        <v>8.5833333333333339</v>
      </c>
      <c r="P95" s="13">
        <v>330</v>
      </c>
      <c r="Q95" s="67">
        <f t="shared" si="20"/>
        <v>2832.5</v>
      </c>
      <c r="R95" s="150">
        <f t="shared" si="21"/>
        <v>8.5833333333333339</v>
      </c>
      <c r="S95" s="13">
        <v>330</v>
      </c>
      <c r="T95" s="67">
        <f t="shared" si="22"/>
        <v>2832.5</v>
      </c>
      <c r="U95" s="150">
        <f t="shared" si="23"/>
        <v>8.5833333333333339</v>
      </c>
      <c r="V95" s="13">
        <v>330</v>
      </c>
      <c r="W95" s="67">
        <f t="shared" si="24"/>
        <v>2832.5</v>
      </c>
      <c r="X95" s="150">
        <f t="shared" si="25"/>
        <v>8.5833333333333339</v>
      </c>
      <c r="Y95" s="13">
        <v>330</v>
      </c>
      <c r="Z95" s="67">
        <f t="shared" si="26"/>
        <v>2832.5</v>
      </c>
      <c r="AA95" s="150">
        <f t="shared" si="27"/>
        <v>8.5833333333333339</v>
      </c>
      <c r="AB95" s="13">
        <v>330</v>
      </c>
      <c r="AC95" s="68">
        <f t="shared" si="28"/>
        <v>2832.5</v>
      </c>
      <c r="AD95" s="150">
        <f t="shared" si="29"/>
        <v>8.5833333333333339</v>
      </c>
      <c r="AE95" s="13">
        <v>330</v>
      </c>
      <c r="AF95" s="68">
        <f t="shared" si="30"/>
        <v>2832.5</v>
      </c>
      <c r="AG95" s="150">
        <f t="shared" si="31"/>
        <v>8.5833333333333339</v>
      </c>
      <c r="AH95" s="13">
        <v>330</v>
      </c>
      <c r="AI95" s="68">
        <f t="shared" si="32"/>
        <v>2832.5</v>
      </c>
      <c r="AJ95" s="150">
        <f t="shared" si="33"/>
        <v>8.5833333333333339</v>
      </c>
      <c r="AK95" s="13">
        <v>330</v>
      </c>
      <c r="AL95" s="94">
        <f t="shared" si="34"/>
        <v>2832.5</v>
      </c>
      <c r="AM95" s="99">
        <f t="shared" si="35"/>
        <v>33990</v>
      </c>
      <c r="AN95" s="64">
        <f t="shared" si="36"/>
        <v>102.99999999999999</v>
      </c>
      <c r="AP95" s="63">
        <v>103</v>
      </c>
      <c r="AQ95" s="135">
        <f t="shared" si="37"/>
        <v>8.5833333333333339</v>
      </c>
    </row>
    <row r="96" spans="1:44" ht="15.75" customHeight="1" x14ac:dyDescent="0.2">
      <c r="A96" s="13"/>
      <c r="B96" s="62" t="s">
        <v>494</v>
      </c>
      <c r="C96" s="150">
        <f t="shared" si="11"/>
        <v>4.25</v>
      </c>
      <c r="D96" s="13">
        <v>660</v>
      </c>
      <c r="E96" s="67">
        <f t="shared" si="12"/>
        <v>2805</v>
      </c>
      <c r="F96" s="150">
        <f t="shared" si="13"/>
        <v>4.25</v>
      </c>
      <c r="G96" s="13">
        <v>660</v>
      </c>
      <c r="H96" s="67">
        <f t="shared" si="14"/>
        <v>2805</v>
      </c>
      <c r="I96" s="150">
        <f t="shared" si="15"/>
        <v>4.25</v>
      </c>
      <c r="J96" s="13">
        <v>660</v>
      </c>
      <c r="K96" s="67">
        <f t="shared" si="16"/>
        <v>2805</v>
      </c>
      <c r="L96" s="150">
        <f t="shared" si="17"/>
        <v>4.25</v>
      </c>
      <c r="M96" s="13">
        <v>660</v>
      </c>
      <c r="N96" s="67">
        <f t="shared" si="18"/>
        <v>2805</v>
      </c>
      <c r="O96" s="150">
        <f t="shared" si="19"/>
        <v>4.25</v>
      </c>
      <c r="P96" s="13">
        <v>660</v>
      </c>
      <c r="Q96" s="67">
        <f t="shared" si="20"/>
        <v>2805</v>
      </c>
      <c r="R96" s="150">
        <f t="shared" si="21"/>
        <v>4.25</v>
      </c>
      <c r="S96" s="13">
        <v>660</v>
      </c>
      <c r="T96" s="67">
        <f t="shared" si="22"/>
        <v>2805</v>
      </c>
      <c r="U96" s="150">
        <f t="shared" si="23"/>
        <v>4.25</v>
      </c>
      <c r="V96" s="13">
        <v>660</v>
      </c>
      <c r="W96" s="67">
        <f t="shared" si="24"/>
        <v>2805</v>
      </c>
      <c r="X96" s="150">
        <f t="shared" si="25"/>
        <v>4.25</v>
      </c>
      <c r="Y96" s="13">
        <v>660</v>
      </c>
      <c r="Z96" s="67">
        <f t="shared" si="26"/>
        <v>2805</v>
      </c>
      <c r="AA96" s="150">
        <f t="shared" si="27"/>
        <v>4.25</v>
      </c>
      <c r="AB96" s="13">
        <v>660</v>
      </c>
      <c r="AC96" s="68">
        <f t="shared" si="28"/>
        <v>2805</v>
      </c>
      <c r="AD96" s="150">
        <f t="shared" si="29"/>
        <v>4.25</v>
      </c>
      <c r="AE96" s="13">
        <v>660</v>
      </c>
      <c r="AF96" s="68">
        <f t="shared" si="30"/>
        <v>2805</v>
      </c>
      <c r="AG96" s="150">
        <f t="shared" si="31"/>
        <v>4.25</v>
      </c>
      <c r="AH96" s="13">
        <v>660</v>
      </c>
      <c r="AI96" s="68">
        <f t="shared" si="32"/>
        <v>2805</v>
      </c>
      <c r="AJ96" s="150">
        <f t="shared" si="33"/>
        <v>4.25</v>
      </c>
      <c r="AK96" s="13">
        <v>660</v>
      </c>
      <c r="AL96" s="94">
        <f t="shared" si="34"/>
        <v>2805</v>
      </c>
      <c r="AM96" s="99">
        <f t="shared" si="35"/>
        <v>33660</v>
      </c>
      <c r="AN96" s="64">
        <f t="shared" si="36"/>
        <v>51</v>
      </c>
      <c r="AP96" s="63">
        <v>51</v>
      </c>
      <c r="AQ96" s="135">
        <f t="shared" si="37"/>
        <v>4.25</v>
      </c>
    </row>
    <row r="97" spans="1:43" ht="15.75" customHeight="1" x14ac:dyDescent="0.2">
      <c r="A97" s="13"/>
      <c r="B97" s="62" t="s">
        <v>495</v>
      </c>
      <c r="C97" s="150">
        <f t="shared" si="11"/>
        <v>87</v>
      </c>
      <c r="D97" s="13">
        <v>150</v>
      </c>
      <c r="E97" s="67">
        <f t="shared" si="12"/>
        <v>13050</v>
      </c>
      <c r="F97" s="150">
        <f t="shared" si="13"/>
        <v>87</v>
      </c>
      <c r="G97" s="13">
        <v>150</v>
      </c>
      <c r="H97" s="67">
        <f t="shared" si="14"/>
        <v>13050</v>
      </c>
      <c r="I97" s="150">
        <f t="shared" si="15"/>
        <v>87</v>
      </c>
      <c r="J97" s="13">
        <v>150</v>
      </c>
      <c r="K97" s="67">
        <f t="shared" si="16"/>
        <v>13050</v>
      </c>
      <c r="L97" s="150">
        <f t="shared" si="17"/>
        <v>87</v>
      </c>
      <c r="M97" s="13">
        <v>150</v>
      </c>
      <c r="N97" s="67">
        <f t="shared" si="18"/>
        <v>13050</v>
      </c>
      <c r="O97" s="150">
        <f t="shared" si="19"/>
        <v>87</v>
      </c>
      <c r="P97" s="13">
        <v>150</v>
      </c>
      <c r="Q97" s="67">
        <f t="shared" si="20"/>
        <v>13050</v>
      </c>
      <c r="R97" s="150">
        <f t="shared" si="21"/>
        <v>87</v>
      </c>
      <c r="S97" s="13">
        <v>150</v>
      </c>
      <c r="T97" s="67">
        <f t="shared" si="22"/>
        <v>13050</v>
      </c>
      <c r="U97" s="150">
        <f t="shared" si="23"/>
        <v>87</v>
      </c>
      <c r="V97" s="13">
        <v>150</v>
      </c>
      <c r="W97" s="67">
        <f t="shared" si="24"/>
        <v>13050</v>
      </c>
      <c r="X97" s="150">
        <f t="shared" si="25"/>
        <v>87</v>
      </c>
      <c r="Y97" s="13">
        <v>150</v>
      </c>
      <c r="Z97" s="67">
        <f t="shared" si="26"/>
        <v>13050</v>
      </c>
      <c r="AA97" s="150">
        <f t="shared" si="27"/>
        <v>87</v>
      </c>
      <c r="AB97" s="13">
        <v>150</v>
      </c>
      <c r="AC97" s="68">
        <f t="shared" si="28"/>
        <v>13050</v>
      </c>
      <c r="AD97" s="150">
        <f t="shared" si="29"/>
        <v>87</v>
      </c>
      <c r="AE97" s="13">
        <v>150</v>
      </c>
      <c r="AF97" s="68">
        <f t="shared" si="30"/>
        <v>13050</v>
      </c>
      <c r="AG97" s="150">
        <f t="shared" si="31"/>
        <v>87</v>
      </c>
      <c r="AH97" s="13">
        <v>150</v>
      </c>
      <c r="AI97" s="68">
        <f t="shared" si="32"/>
        <v>13050</v>
      </c>
      <c r="AJ97" s="150">
        <f t="shared" si="33"/>
        <v>87</v>
      </c>
      <c r="AK97" s="13">
        <v>150</v>
      </c>
      <c r="AL97" s="94">
        <f t="shared" si="34"/>
        <v>13050</v>
      </c>
      <c r="AM97" s="99">
        <f t="shared" si="35"/>
        <v>156600</v>
      </c>
      <c r="AN97" s="64">
        <f t="shared" si="36"/>
        <v>1044</v>
      </c>
      <c r="AP97" s="63">
        <v>1044</v>
      </c>
      <c r="AQ97" s="135">
        <f t="shared" si="37"/>
        <v>87</v>
      </c>
    </row>
    <row r="98" spans="1:43" ht="15.75" customHeight="1" x14ac:dyDescent="0.2">
      <c r="A98" s="13"/>
      <c r="B98" s="62" t="s">
        <v>495</v>
      </c>
      <c r="C98" s="150">
        <f t="shared" si="11"/>
        <v>18.5</v>
      </c>
      <c r="D98" s="13">
        <v>300</v>
      </c>
      <c r="E98" s="67">
        <f t="shared" si="12"/>
        <v>5550</v>
      </c>
      <c r="F98" s="150">
        <f t="shared" si="13"/>
        <v>18.5</v>
      </c>
      <c r="G98" s="13">
        <v>300</v>
      </c>
      <c r="H98" s="67">
        <f t="shared" si="14"/>
        <v>5550</v>
      </c>
      <c r="I98" s="150">
        <f t="shared" si="15"/>
        <v>18.5</v>
      </c>
      <c r="J98" s="13">
        <v>300</v>
      </c>
      <c r="K98" s="67">
        <f t="shared" si="16"/>
        <v>5550</v>
      </c>
      <c r="L98" s="150">
        <f t="shared" si="17"/>
        <v>18.5</v>
      </c>
      <c r="M98" s="13">
        <v>300</v>
      </c>
      <c r="N98" s="67">
        <f t="shared" si="18"/>
        <v>5550</v>
      </c>
      <c r="O98" s="150">
        <f t="shared" si="19"/>
        <v>18.5</v>
      </c>
      <c r="P98" s="13">
        <v>300</v>
      </c>
      <c r="Q98" s="67">
        <f t="shared" si="20"/>
        <v>5550</v>
      </c>
      <c r="R98" s="150">
        <f t="shared" si="21"/>
        <v>18.5</v>
      </c>
      <c r="S98" s="13">
        <v>300</v>
      </c>
      <c r="T98" s="67">
        <f t="shared" si="22"/>
        <v>5550</v>
      </c>
      <c r="U98" s="150">
        <f t="shared" si="23"/>
        <v>18.5</v>
      </c>
      <c r="V98" s="13">
        <v>300</v>
      </c>
      <c r="W98" s="67">
        <f t="shared" si="24"/>
        <v>5550</v>
      </c>
      <c r="X98" s="150">
        <f t="shared" si="25"/>
        <v>18.5</v>
      </c>
      <c r="Y98" s="13">
        <v>300</v>
      </c>
      <c r="Z98" s="67">
        <f t="shared" si="26"/>
        <v>5550</v>
      </c>
      <c r="AA98" s="150">
        <f t="shared" si="27"/>
        <v>18.5</v>
      </c>
      <c r="AB98" s="13">
        <v>300</v>
      </c>
      <c r="AC98" s="68">
        <f t="shared" si="28"/>
        <v>5550</v>
      </c>
      <c r="AD98" s="150">
        <f t="shared" si="29"/>
        <v>18.5</v>
      </c>
      <c r="AE98" s="13">
        <v>300</v>
      </c>
      <c r="AF98" s="68">
        <f t="shared" si="30"/>
        <v>5550</v>
      </c>
      <c r="AG98" s="150">
        <f t="shared" si="31"/>
        <v>18.5</v>
      </c>
      <c r="AH98" s="13">
        <v>300</v>
      </c>
      <c r="AI98" s="68">
        <f t="shared" si="32"/>
        <v>5550</v>
      </c>
      <c r="AJ98" s="150">
        <f t="shared" si="33"/>
        <v>18.5</v>
      </c>
      <c r="AK98" s="13">
        <v>300</v>
      </c>
      <c r="AL98" s="94">
        <f t="shared" si="34"/>
        <v>5550</v>
      </c>
      <c r="AM98" s="99">
        <f t="shared" si="35"/>
        <v>66600</v>
      </c>
      <c r="AN98" s="64">
        <f t="shared" si="36"/>
        <v>222</v>
      </c>
      <c r="AP98" s="63">
        <v>222</v>
      </c>
      <c r="AQ98" s="135">
        <f t="shared" si="37"/>
        <v>18.5</v>
      </c>
    </row>
    <row r="99" spans="1:43" ht="15.75" customHeight="1" x14ac:dyDescent="0.2">
      <c r="A99" s="13"/>
      <c r="B99" s="62" t="s">
        <v>424</v>
      </c>
      <c r="C99" s="150">
        <f t="shared" si="11"/>
        <v>1.6666666666666667</v>
      </c>
      <c r="D99" s="13">
        <v>240</v>
      </c>
      <c r="E99" s="67">
        <f t="shared" si="12"/>
        <v>400</v>
      </c>
      <c r="F99" s="150">
        <f t="shared" si="13"/>
        <v>1.6666666666666667</v>
      </c>
      <c r="G99" s="13">
        <v>240</v>
      </c>
      <c r="H99" s="67">
        <f t="shared" si="14"/>
        <v>400</v>
      </c>
      <c r="I99" s="150">
        <f t="shared" si="15"/>
        <v>1.6666666666666667</v>
      </c>
      <c r="J99" s="13">
        <v>240</v>
      </c>
      <c r="K99" s="67">
        <f t="shared" si="16"/>
        <v>400</v>
      </c>
      <c r="L99" s="150">
        <f t="shared" si="17"/>
        <v>1.6666666666666667</v>
      </c>
      <c r="M99" s="13">
        <v>240</v>
      </c>
      <c r="N99" s="67">
        <f t="shared" si="18"/>
        <v>400</v>
      </c>
      <c r="O99" s="150">
        <f t="shared" si="19"/>
        <v>1.6666666666666667</v>
      </c>
      <c r="P99" s="13">
        <v>240</v>
      </c>
      <c r="Q99" s="67">
        <f t="shared" si="20"/>
        <v>400</v>
      </c>
      <c r="R99" s="150">
        <f t="shared" si="21"/>
        <v>1.6666666666666667</v>
      </c>
      <c r="S99" s="13">
        <v>240</v>
      </c>
      <c r="T99" s="67">
        <f t="shared" si="22"/>
        <v>400</v>
      </c>
      <c r="U99" s="150">
        <f t="shared" si="23"/>
        <v>1.6666666666666667</v>
      </c>
      <c r="V99" s="13">
        <v>240</v>
      </c>
      <c r="W99" s="67">
        <f t="shared" si="24"/>
        <v>400</v>
      </c>
      <c r="X99" s="150">
        <f t="shared" si="25"/>
        <v>1.6666666666666667</v>
      </c>
      <c r="Y99" s="13">
        <v>240</v>
      </c>
      <c r="Z99" s="67">
        <f t="shared" si="26"/>
        <v>400</v>
      </c>
      <c r="AA99" s="150">
        <f t="shared" si="27"/>
        <v>1.6666666666666667</v>
      </c>
      <c r="AB99" s="13">
        <v>240</v>
      </c>
      <c r="AC99" s="68">
        <f t="shared" si="28"/>
        <v>400</v>
      </c>
      <c r="AD99" s="150">
        <f t="shared" si="29"/>
        <v>1.6666666666666667</v>
      </c>
      <c r="AE99" s="13">
        <v>240</v>
      </c>
      <c r="AF99" s="68">
        <f t="shared" si="30"/>
        <v>400</v>
      </c>
      <c r="AG99" s="150">
        <f t="shared" si="31"/>
        <v>1.6666666666666667</v>
      </c>
      <c r="AH99" s="13">
        <v>240</v>
      </c>
      <c r="AI99" s="68">
        <f t="shared" si="32"/>
        <v>400</v>
      </c>
      <c r="AJ99" s="150">
        <f t="shared" si="33"/>
        <v>1.6666666666666667</v>
      </c>
      <c r="AK99" s="13">
        <v>240</v>
      </c>
      <c r="AL99" s="94">
        <f t="shared" si="34"/>
        <v>400</v>
      </c>
      <c r="AM99" s="99">
        <f t="shared" si="35"/>
        <v>4800</v>
      </c>
      <c r="AN99" s="64">
        <f t="shared" si="36"/>
        <v>20</v>
      </c>
      <c r="AP99" s="63">
        <v>20</v>
      </c>
      <c r="AQ99" s="135">
        <f t="shared" si="37"/>
        <v>1.6666666666666667</v>
      </c>
    </row>
    <row r="100" spans="1:43" ht="15.75" customHeight="1" x14ac:dyDescent="0.2">
      <c r="A100" s="13"/>
      <c r="B100" s="62" t="s">
        <v>424</v>
      </c>
      <c r="C100" s="150">
        <f t="shared" si="11"/>
        <v>4.166666666666667</v>
      </c>
      <c r="D100" s="13">
        <v>480</v>
      </c>
      <c r="E100" s="67">
        <f t="shared" si="12"/>
        <v>2000.0000000000002</v>
      </c>
      <c r="F100" s="150">
        <f t="shared" si="13"/>
        <v>4.166666666666667</v>
      </c>
      <c r="G100" s="13">
        <v>480</v>
      </c>
      <c r="H100" s="67">
        <f t="shared" si="14"/>
        <v>2000.0000000000002</v>
      </c>
      <c r="I100" s="150">
        <f t="shared" si="15"/>
        <v>4.166666666666667</v>
      </c>
      <c r="J100" s="13">
        <v>480</v>
      </c>
      <c r="K100" s="67">
        <f t="shared" si="16"/>
        <v>2000.0000000000002</v>
      </c>
      <c r="L100" s="150">
        <f t="shared" si="17"/>
        <v>4.166666666666667</v>
      </c>
      <c r="M100" s="13">
        <v>480</v>
      </c>
      <c r="N100" s="67">
        <f t="shared" si="18"/>
        <v>2000.0000000000002</v>
      </c>
      <c r="O100" s="150">
        <f t="shared" si="19"/>
        <v>4.166666666666667</v>
      </c>
      <c r="P100" s="13">
        <v>480</v>
      </c>
      <c r="Q100" s="67">
        <f t="shared" si="20"/>
        <v>2000.0000000000002</v>
      </c>
      <c r="R100" s="150">
        <f t="shared" si="21"/>
        <v>4.166666666666667</v>
      </c>
      <c r="S100" s="13">
        <v>480</v>
      </c>
      <c r="T100" s="67">
        <f t="shared" si="22"/>
        <v>2000.0000000000002</v>
      </c>
      <c r="U100" s="150">
        <f t="shared" si="23"/>
        <v>4.166666666666667</v>
      </c>
      <c r="V100" s="13">
        <v>480</v>
      </c>
      <c r="W100" s="67">
        <f t="shared" si="24"/>
        <v>2000.0000000000002</v>
      </c>
      <c r="X100" s="150">
        <f t="shared" si="25"/>
        <v>4.166666666666667</v>
      </c>
      <c r="Y100" s="13">
        <v>480</v>
      </c>
      <c r="Z100" s="67">
        <f t="shared" si="26"/>
        <v>2000.0000000000002</v>
      </c>
      <c r="AA100" s="150">
        <f t="shared" si="27"/>
        <v>4.166666666666667</v>
      </c>
      <c r="AB100" s="13">
        <v>480</v>
      </c>
      <c r="AC100" s="68">
        <f t="shared" si="28"/>
        <v>2000.0000000000002</v>
      </c>
      <c r="AD100" s="150">
        <f t="shared" si="29"/>
        <v>4.166666666666667</v>
      </c>
      <c r="AE100" s="13">
        <v>480</v>
      </c>
      <c r="AF100" s="68">
        <f t="shared" si="30"/>
        <v>2000.0000000000002</v>
      </c>
      <c r="AG100" s="150">
        <f t="shared" si="31"/>
        <v>4.166666666666667</v>
      </c>
      <c r="AH100" s="13">
        <v>480</v>
      </c>
      <c r="AI100" s="68">
        <f t="shared" si="32"/>
        <v>2000.0000000000002</v>
      </c>
      <c r="AJ100" s="150">
        <f t="shared" si="33"/>
        <v>4.166666666666667</v>
      </c>
      <c r="AK100" s="13">
        <v>480</v>
      </c>
      <c r="AL100" s="94">
        <f t="shared" si="34"/>
        <v>2000.0000000000002</v>
      </c>
      <c r="AM100" s="99">
        <f t="shared" si="35"/>
        <v>24000.000000000004</v>
      </c>
      <c r="AN100" s="64">
        <f t="shared" si="36"/>
        <v>49.999999999999993</v>
      </c>
      <c r="AP100" s="63">
        <v>50</v>
      </c>
      <c r="AQ100" s="135">
        <f t="shared" si="37"/>
        <v>4.166666666666667</v>
      </c>
    </row>
    <row r="101" spans="1:43" ht="15.75" customHeight="1" x14ac:dyDescent="0.2">
      <c r="A101" s="13"/>
      <c r="B101" s="62" t="s">
        <v>496</v>
      </c>
      <c r="C101" s="150">
        <f t="shared" si="11"/>
        <v>4.583333333333333</v>
      </c>
      <c r="D101" s="13">
        <v>260</v>
      </c>
      <c r="E101" s="67">
        <f t="shared" si="12"/>
        <v>1191.6666666666665</v>
      </c>
      <c r="F101" s="150">
        <f t="shared" si="13"/>
        <v>4.583333333333333</v>
      </c>
      <c r="G101" s="13">
        <v>260</v>
      </c>
      <c r="H101" s="67">
        <f t="shared" si="14"/>
        <v>1191.6666666666665</v>
      </c>
      <c r="I101" s="150">
        <f t="shared" si="15"/>
        <v>4.583333333333333</v>
      </c>
      <c r="J101" s="13">
        <v>260</v>
      </c>
      <c r="K101" s="67">
        <f t="shared" si="16"/>
        <v>1191.6666666666665</v>
      </c>
      <c r="L101" s="150">
        <f t="shared" si="17"/>
        <v>4.583333333333333</v>
      </c>
      <c r="M101" s="13">
        <v>260</v>
      </c>
      <c r="N101" s="67">
        <f t="shared" si="18"/>
        <v>1191.6666666666665</v>
      </c>
      <c r="O101" s="150">
        <f t="shared" si="19"/>
        <v>4.583333333333333</v>
      </c>
      <c r="P101" s="13">
        <v>260</v>
      </c>
      <c r="Q101" s="67">
        <f t="shared" si="20"/>
        <v>1191.6666666666665</v>
      </c>
      <c r="R101" s="150">
        <f t="shared" si="21"/>
        <v>4.583333333333333</v>
      </c>
      <c r="S101" s="13">
        <v>260</v>
      </c>
      <c r="T101" s="67">
        <f t="shared" si="22"/>
        <v>1191.6666666666665</v>
      </c>
      <c r="U101" s="150">
        <f t="shared" si="23"/>
        <v>4.583333333333333</v>
      </c>
      <c r="V101" s="13">
        <v>260</v>
      </c>
      <c r="W101" s="67">
        <f t="shared" si="24"/>
        <v>1191.6666666666665</v>
      </c>
      <c r="X101" s="150">
        <f t="shared" si="25"/>
        <v>4.583333333333333</v>
      </c>
      <c r="Y101" s="13">
        <v>260</v>
      </c>
      <c r="Z101" s="67">
        <f t="shared" si="26"/>
        <v>1191.6666666666665</v>
      </c>
      <c r="AA101" s="150">
        <f t="shared" si="27"/>
        <v>4.583333333333333</v>
      </c>
      <c r="AB101" s="13">
        <v>260</v>
      </c>
      <c r="AC101" s="68">
        <f t="shared" si="28"/>
        <v>1191.6666666666665</v>
      </c>
      <c r="AD101" s="150">
        <f t="shared" si="29"/>
        <v>4.583333333333333</v>
      </c>
      <c r="AE101" s="13">
        <v>260</v>
      </c>
      <c r="AF101" s="68">
        <f t="shared" si="30"/>
        <v>1191.6666666666665</v>
      </c>
      <c r="AG101" s="150">
        <f t="shared" si="31"/>
        <v>4.583333333333333</v>
      </c>
      <c r="AH101" s="13">
        <v>260</v>
      </c>
      <c r="AI101" s="68">
        <f t="shared" si="32"/>
        <v>1191.6666666666665</v>
      </c>
      <c r="AJ101" s="150">
        <f t="shared" si="33"/>
        <v>4.583333333333333</v>
      </c>
      <c r="AK101" s="13">
        <v>260</v>
      </c>
      <c r="AL101" s="94">
        <f t="shared" si="34"/>
        <v>1191.6666666666665</v>
      </c>
      <c r="AM101" s="99">
        <f t="shared" si="35"/>
        <v>14299.999999999995</v>
      </c>
      <c r="AN101" s="64">
        <f t="shared" si="36"/>
        <v>55.000000000000007</v>
      </c>
      <c r="AP101" s="63">
        <v>55</v>
      </c>
      <c r="AQ101" s="135">
        <f t="shared" si="37"/>
        <v>4.583333333333333</v>
      </c>
    </row>
    <row r="102" spans="1:43" ht="15.75" customHeight="1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L102" s="94"/>
      <c r="AM102" s="100"/>
    </row>
    <row r="103" spans="1:43" ht="15.75" customHeight="1" x14ac:dyDescent="0.2">
      <c r="A103" s="82" t="s">
        <v>512</v>
      </c>
      <c r="B103" s="82"/>
      <c r="C103" s="13"/>
      <c r="D103" s="13"/>
      <c r="E103" s="83">
        <f>SUM(E91:E102)</f>
        <v>78179.166666666672</v>
      </c>
      <c r="F103" s="83"/>
      <c r="G103" s="83"/>
      <c r="H103" s="83">
        <f>SUM(H91:H102)</f>
        <v>78179.166666666672</v>
      </c>
      <c r="I103" s="83"/>
      <c r="J103" s="83"/>
      <c r="K103" s="83">
        <f>SUM(K91:K102)</f>
        <v>78179.166666666672</v>
      </c>
      <c r="L103" s="83"/>
      <c r="M103" s="83"/>
      <c r="N103" s="83">
        <f>SUM(N91:N102)</f>
        <v>78179.166666666672</v>
      </c>
      <c r="O103" s="83"/>
      <c r="P103" s="83"/>
      <c r="Q103" s="83">
        <f>SUM(Q91:Q102)</f>
        <v>78179.166666666672</v>
      </c>
      <c r="R103" s="83"/>
      <c r="S103" s="83"/>
      <c r="T103" s="83">
        <f>SUM(T91:T102)</f>
        <v>78179.166666666672</v>
      </c>
      <c r="U103" s="83"/>
      <c r="V103" s="83"/>
      <c r="W103" s="83">
        <f>SUM(W91:W102)</f>
        <v>78179.166666666672</v>
      </c>
      <c r="X103" s="83"/>
      <c r="Y103" s="83"/>
      <c r="Z103" s="83">
        <f>SUM(Z91:Z102)</f>
        <v>78179.166666666672</v>
      </c>
      <c r="AA103" s="88"/>
      <c r="AB103" s="88"/>
      <c r="AC103" s="83">
        <f>SUM(AC91:AC102)</f>
        <v>78179.166666666672</v>
      </c>
      <c r="AD103" s="88"/>
      <c r="AE103" s="88"/>
      <c r="AF103" s="83">
        <f>SUM(AF91:AF102)</f>
        <v>78179.166666666672</v>
      </c>
      <c r="AG103" s="88"/>
      <c r="AH103" s="88"/>
      <c r="AI103" s="83">
        <f>SUM(AI91:AI102)</f>
        <v>78179.166666666672</v>
      </c>
      <c r="AJ103" s="88"/>
      <c r="AK103" s="88"/>
      <c r="AL103" s="95">
        <f>SUM(AL91:AL102)</f>
        <v>78179.166666666672</v>
      </c>
      <c r="AM103" s="101">
        <f>SUM(AM91:AM102)</f>
        <v>938150</v>
      </c>
    </row>
    <row r="104" spans="1:43" ht="15.75" customHeight="1" x14ac:dyDescent="0.2">
      <c r="A104" s="83"/>
      <c r="B104" s="8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L104" s="94"/>
      <c r="AM104" s="100"/>
    </row>
    <row r="105" spans="1:43" ht="15.75" customHeight="1" x14ac:dyDescent="0.2">
      <c r="A105" s="82" t="s">
        <v>513</v>
      </c>
      <c r="B105" s="82"/>
      <c r="C105" s="13"/>
      <c r="D105" s="13"/>
      <c r="E105" s="83">
        <f>+E103*0.4</f>
        <v>31271.666666666672</v>
      </c>
      <c r="F105" s="83"/>
      <c r="G105" s="83"/>
      <c r="H105" s="83">
        <f>+H103*0.4</f>
        <v>31271.666666666672</v>
      </c>
      <c r="I105" s="83"/>
      <c r="J105" s="83"/>
      <c r="K105" s="83">
        <f>+K103*0.4</f>
        <v>31271.666666666672</v>
      </c>
      <c r="L105" s="83"/>
      <c r="M105" s="83"/>
      <c r="N105" s="83">
        <f>+N103*0.4</f>
        <v>31271.666666666672</v>
      </c>
      <c r="O105" s="83"/>
      <c r="P105" s="83"/>
      <c r="Q105" s="83">
        <f>+Q103*0.4</f>
        <v>31271.666666666672</v>
      </c>
      <c r="R105" s="83"/>
      <c r="S105" s="83"/>
      <c r="T105" s="83">
        <f>+T103*0.4</f>
        <v>31271.666666666672</v>
      </c>
      <c r="U105" s="83"/>
      <c r="V105" s="83"/>
      <c r="W105" s="83">
        <f>+W103*0.4</f>
        <v>31271.666666666672</v>
      </c>
      <c r="X105" s="83"/>
      <c r="Y105" s="83"/>
      <c r="Z105" s="83">
        <f>+Z103*0.4</f>
        <v>31271.666666666672</v>
      </c>
      <c r="AA105" s="88"/>
      <c r="AB105" s="88"/>
      <c r="AC105" s="83">
        <f>+AC103*0.4</f>
        <v>31271.666666666672</v>
      </c>
      <c r="AD105" s="88"/>
      <c r="AE105" s="88"/>
      <c r="AF105" s="83">
        <f>+AF103*0.4</f>
        <v>31271.666666666672</v>
      </c>
      <c r="AG105" s="88"/>
      <c r="AH105" s="88"/>
      <c r="AI105" s="83">
        <f>+AI103*0.4</f>
        <v>31271.666666666672</v>
      </c>
      <c r="AJ105" s="88"/>
      <c r="AK105" s="88"/>
      <c r="AL105" s="95">
        <f>+AL103*0.4</f>
        <v>31271.666666666672</v>
      </c>
      <c r="AM105" s="101">
        <f>+AM103*0.4</f>
        <v>375260</v>
      </c>
    </row>
    <row r="106" spans="1:43" ht="15.75" customHeight="1" x14ac:dyDescent="0.2">
      <c r="A106" s="82" t="s">
        <v>514</v>
      </c>
      <c r="B106" s="82"/>
      <c r="C106" s="13"/>
      <c r="D106" s="13"/>
      <c r="E106" s="83">
        <f>+E105*0.16</f>
        <v>5003.4666666666672</v>
      </c>
      <c r="F106" s="83"/>
      <c r="G106" s="83"/>
      <c r="H106" s="83">
        <f>+H105*0.16</f>
        <v>5003.4666666666672</v>
      </c>
      <c r="I106" s="83"/>
      <c r="J106" s="83"/>
      <c r="K106" s="83">
        <f>+K105*0.16</f>
        <v>5003.4666666666672</v>
      </c>
      <c r="L106" s="83"/>
      <c r="M106" s="83"/>
      <c r="N106" s="83">
        <f>+N105*0.16</f>
        <v>5003.4666666666672</v>
      </c>
      <c r="O106" s="83"/>
      <c r="P106" s="83"/>
      <c r="Q106" s="83">
        <f>+Q105*0.16</f>
        <v>5003.4666666666672</v>
      </c>
      <c r="R106" s="83"/>
      <c r="S106" s="83"/>
      <c r="T106" s="83">
        <f>+T105*0.16</f>
        <v>5003.4666666666672</v>
      </c>
      <c r="U106" s="83"/>
      <c r="V106" s="83"/>
      <c r="W106" s="83">
        <f>+W105*0.16</f>
        <v>5003.4666666666672</v>
      </c>
      <c r="X106" s="83"/>
      <c r="Y106" s="83"/>
      <c r="Z106" s="83">
        <f>+Z105*0.16</f>
        <v>5003.4666666666672</v>
      </c>
      <c r="AA106" s="88"/>
      <c r="AB106" s="88"/>
      <c r="AC106" s="83">
        <f>+AC105*0.16</f>
        <v>5003.4666666666672</v>
      </c>
      <c r="AD106" s="88"/>
      <c r="AE106" s="88"/>
      <c r="AF106" s="83">
        <f>+AF105*0.16</f>
        <v>5003.4666666666672</v>
      </c>
      <c r="AG106" s="88"/>
      <c r="AH106" s="88"/>
      <c r="AI106" s="83">
        <f>+AI105*0.16</f>
        <v>5003.4666666666672</v>
      </c>
      <c r="AJ106" s="88"/>
      <c r="AK106" s="88"/>
      <c r="AL106" s="95">
        <f>+AL105*0.16</f>
        <v>5003.4666666666672</v>
      </c>
      <c r="AM106" s="101">
        <f>+AM105*0.16</f>
        <v>60041.599999999999</v>
      </c>
    </row>
    <row r="107" spans="1:43" ht="15.75" customHeight="1" x14ac:dyDescent="0.2">
      <c r="A107" s="83"/>
      <c r="B107" s="8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L107" s="94"/>
      <c r="AM107" s="100"/>
    </row>
    <row r="108" spans="1:43" ht="15.75" customHeight="1" x14ac:dyDescent="0.2">
      <c r="A108" s="82" t="s">
        <v>515</v>
      </c>
      <c r="B108" s="82"/>
      <c r="C108" s="13"/>
      <c r="D108" s="13"/>
      <c r="E108" s="83">
        <f>+E103-E106</f>
        <v>73175.700000000012</v>
      </c>
      <c r="F108" s="83"/>
      <c r="G108" s="83"/>
      <c r="H108" s="83">
        <f>+H103-H106</f>
        <v>73175.700000000012</v>
      </c>
      <c r="I108" s="83"/>
      <c r="J108" s="83"/>
      <c r="K108" s="83">
        <f>+K103-K106</f>
        <v>73175.700000000012</v>
      </c>
      <c r="L108" s="83"/>
      <c r="M108" s="83"/>
      <c r="N108" s="83">
        <f>+N103-N106</f>
        <v>73175.700000000012</v>
      </c>
      <c r="O108" s="83"/>
      <c r="P108" s="83"/>
      <c r="Q108" s="83">
        <f>+Q103-Q106</f>
        <v>73175.700000000012</v>
      </c>
      <c r="R108" s="83"/>
      <c r="S108" s="83"/>
      <c r="T108" s="83">
        <f>+T103-T106</f>
        <v>73175.700000000012</v>
      </c>
      <c r="U108" s="83"/>
      <c r="V108" s="83"/>
      <c r="W108" s="83">
        <f>+W103-W106</f>
        <v>73175.700000000012</v>
      </c>
      <c r="X108" s="83"/>
      <c r="Y108" s="83"/>
      <c r="Z108" s="83">
        <f>+Z103-Z106</f>
        <v>73175.700000000012</v>
      </c>
      <c r="AA108" s="88"/>
      <c r="AB108" s="88"/>
      <c r="AC108" s="83">
        <f>+AC103-AC106</f>
        <v>73175.700000000012</v>
      </c>
      <c r="AD108" s="88"/>
      <c r="AE108" s="88"/>
      <c r="AF108" s="83">
        <f>+AF103-AF106</f>
        <v>73175.700000000012</v>
      </c>
      <c r="AG108" s="88"/>
      <c r="AH108" s="88"/>
      <c r="AI108" s="83">
        <f>+AI103-AI106</f>
        <v>73175.700000000012</v>
      </c>
      <c r="AJ108" s="88"/>
      <c r="AK108" s="88"/>
      <c r="AL108" s="95">
        <f>+AL103-AL106</f>
        <v>73175.700000000012</v>
      </c>
      <c r="AM108" s="101">
        <f>+AM103-AM106</f>
        <v>878108.4</v>
      </c>
    </row>
    <row r="109" spans="1:43" ht="15.75" customHeight="1" x14ac:dyDescent="0.2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L109" s="94"/>
      <c r="AM109" s="100"/>
    </row>
    <row r="110" spans="1:43" ht="15.75" customHeight="1" x14ac:dyDescent="0.2">
      <c r="A110" s="82" t="s">
        <v>516</v>
      </c>
      <c r="B110" s="66"/>
      <c r="C110" s="13"/>
      <c r="D110" s="93" t="s">
        <v>517</v>
      </c>
      <c r="E110" s="93" t="s">
        <v>518</v>
      </c>
      <c r="F110" s="13"/>
      <c r="G110" s="93" t="s">
        <v>517</v>
      </c>
      <c r="H110" s="93" t="s">
        <v>518</v>
      </c>
      <c r="I110" s="13"/>
      <c r="J110" s="93" t="s">
        <v>517</v>
      </c>
      <c r="K110" s="93" t="s">
        <v>518</v>
      </c>
      <c r="L110" s="13"/>
      <c r="M110" s="93" t="s">
        <v>517</v>
      </c>
      <c r="N110" s="93" t="s">
        <v>518</v>
      </c>
      <c r="O110" s="13"/>
      <c r="P110" s="93" t="s">
        <v>517</v>
      </c>
      <c r="Q110" s="93" t="s">
        <v>518</v>
      </c>
      <c r="R110" s="13"/>
      <c r="S110" s="93" t="s">
        <v>517</v>
      </c>
      <c r="T110" s="93" t="s">
        <v>518</v>
      </c>
      <c r="U110" s="13"/>
      <c r="V110" s="93" t="s">
        <v>517</v>
      </c>
      <c r="W110" s="93" t="s">
        <v>518</v>
      </c>
      <c r="X110" s="13"/>
      <c r="Y110" s="93" t="s">
        <v>517</v>
      </c>
      <c r="Z110" s="93" t="s">
        <v>518</v>
      </c>
      <c r="AB110" s="93" t="s">
        <v>517</v>
      </c>
      <c r="AC110" s="93" t="s">
        <v>518</v>
      </c>
      <c r="AE110" s="93" t="s">
        <v>517</v>
      </c>
      <c r="AF110" s="93" t="s">
        <v>518</v>
      </c>
      <c r="AH110" s="93" t="s">
        <v>517</v>
      </c>
      <c r="AI110" s="93" t="s">
        <v>518</v>
      </c>
      <c r="AK110" s="93" t="s">
        <v>517</v>
      </c>
      <c r="AL110" s="110" t="s">
        <v>518</v>
      </c>
      <c r="AM110" s="100"/>
    </row>
    <row r="111" spans="1:43" ht="15.75" customHeight="1" x14ac:dyDescent="0.2">
      <c r="A111" s="75"/>
      <c r="B111" s="76" t="s">
        <v>492</v>
      </c>
      <c r="C111" s="13"/>
      <c r="D111" s="13">
        <v>185.27</v>
      </c>
      <c r="E111" s="13">
        <f>+D111*C91</f>
        <v>5002.29</v>
      </c>
      <c r="F111" s="13"/>
      <c r="G111" s="13">
        <v>185.27</v>
      </c>
      <c r="H111" s="13">
        <f t="shared" ref="H111:H121" si="38">+G111*F91</f>
        <v>5002.29</v>
      </c>
      <c r="I111" s="13"/>
      <c r="J111" s="13">
        <v>185.27</v>
      </c>
      <c r="K111" s="13">
        <f t="shared" ref="K111:K121" si="39">+J111*I91</f>
        <v>5002.29</v>
      </c>
      <c r="L111" s="13"/>
      <c r="M111" s="13">
        <v>185.27</v>
      </c>
      <c r="N111" s="13">
        <f t="shared" ref="N111:N121" si="40">+M111*L91</f>
        <v>5002.29</v>
      </c>
      <c r="O111" s="13"/>
      <c r="P111" s="13">
        <v>185.27</v>
      </c>
      <c r="Q111" s="13">
        <f t="shared" ref="Q111:Q121" si="41">+P111*O91</f>
        <v>5002.29</v>
      </c>
      <c r="R111" s="13"/>
      <c r="S111" s="13">
        <v>185.27</v>
      </c>
      <c r="T111" s="13">
        <f t="shared" ref="T111:T121" si="42">+S111*R91</f>
        <v>5002.29</v>
      </c>
      <c r="U111" s="13"/>
      <c r="V111" s="13">
        <v>185.27</v>
      </c>
      <c r="W111" s="13">
        <f t="shared" ref="W111:W121" si="43">+V111*U91</f>
        <v>5002.29</v>
      </c>
      <c r="X111" s="13"/>
      <c r="Y111" s="13">
        <v>185.27</v>
      </c>
      <c r="Z111" s="13">
        <f t="shared" ref="Z111:Z121" si="44">+Y111*X91</f>
        <v>5002.29</v>
      </c>
      <c r="AB111" s="13">
        <v>185.27</v>
      </c>
      <c r="AC111" s="13">
        <f t="shared" ref="AC111:AC121" si="45">+AB111*AA91</f>
        <v>5002.29</v>
      </c>
      <c r="AE111" s="13">
        <v>185.27</v>
      </c>
      <c r="AF111" s="13">
        <f t="shared" ref="AF111:AF121" si="46">+AE111*AD91</f>
        <v>5002.29</v>
      </c>
      <c r="AH111" s="13">
        <v>185.27</v>
      </c>
      <c r="AI111" s="13">
        <f t="shared" ref="AI111:AI121" si="47">+AH111*AG91</f>
        <v>5002.29</v>
      </c>
      <c r="AK111" s="13">
        <v>185.27</v>
      </c>
      <c r="AL111" s="86">
        <f t="shared" ref="AL111:AL121" si="48">+AK111*AJ91</f>
        <v>5002.29</v>
      </c>
      <c r="AM111" s="101">
        <f t="shared" ref="AM111:AM121" si="49">+AL111+AI111+AF111+AC111+Z111+W111+T111+Q111+N111+K111+H111+E111</f>
        <v>60027.48</v>
      </c>
    </row>
    <row r="112" spans="1:43" ht="15.75" customHeight="1" x14ac:dyDescent="0.2">
      <c r="A112" s="75"/>
      <c r="B112" s="76" t="s">
        <v>492</v>
      </c>
      <c r="C112" s="13"/>
      <c r="D112" s="13">
        <v>369.94</v>
      </c>
      <c r="E112" s="13">
        <f t="shared" ref="E112:E121" si="50">+D112*C92</f>
        <v>13811.093333333334</v>
      </c>
      <c r="F112" s="13"/>
      <c r="G112" s="13">
        <v>369.94</v>
      </c>
      <c r="H112" s="13">
        <f t="shared" si="38"/>
        <v>13811.093333333334</v>
      </c>
      <c r="I112" s="13"/>
      <c r="J112" s="13">
        <v>369.94</v>
      </c>
      <c r="K112" s="13">
        <f t="shared" si="39"/>
        <v>13811.093333333334</v>
      </c>
      <c r="L112" s="13"/>
      <c r="M112" s="13">
        <v>369.94</v>
      </c>
      <c r="N112" s="13">
        <f t="shared" si="40"/>
        <v>13811.093333333334</v>
      </c>
      <c r="O112" s="13"/>
      <c r="P112" s="13">
        <v>369.94</v>
      </c>
      <c r="Q112" s="13">
        <f t="shared" si="41"/>
        <v>13811.093333333334</v>
      </c>
      <c r="R112" s="13"/>
      <c r="S112" s="13">
        <v>369.94</v>
      </c>
      <c r="T112" s="13">
        <f t="shared" si="42"/>
        <v>13811.093333333334</v>
      </c>
      <c r="U112" s="13"/>
      <c r="V112" s="13">
        <v>369.94</v>
      </c>
      <c r="W112" s="13">
        <f t="shared" si="43"/>
        <v>13811.093333333334</v>
      </c>
      <c r="X112" s="13"/>
      <c r="Y112" s="13">
        <v>369.94</v>
      </c>
      <c r="Z112" s="13">
        <f t="shared" si="44"/>
        <v>13811.093333333334</v>
      </c>
      <c r="AB112" s="13">
        <v>369.94</v>
      </c>
      <c r="AC112" s="13">
        <f t="shared" si="45"/>
        <v>13811.093333333334</v>
      </c>
      <c r="AE112" s="13">
        <v>369.94</v>
      </c>
      <c r="AF112" s="13">
        <f t="shared" si="46"/>
        <v>13811.093333333334</v>
      </c>
      <c r="AH112" s="13">
        <v>369.94</v>
      </c>
      <c r="AI112" s="13">
        <f t="shared" si="47"/>
        <v>13811.093333333334</v>
      </c>
      <c r="AK112" s="13">
        <v>369.94</v>
      </c>
      <c r="AL112" s="86">
        <f t="shared" si="48"/>
        <v>13811.093333333334</v>
      </c>
      <c r="AM112" s="101">
        <f t="shared" si="49"/>
        <v>165733.12</v>
      </c>
    </row>
    <row r="113" spans="1:39" ht="15.75" customHeight="1" x14ac:dyDescent="0.2">
      <c r="A113" s="75"/>
      <c r="B113" s="76" t="s">
        <v>493</v>
      </c>
      <c r="C113" s="13"/>
      <c r="D113" s="13">
        <v>240.66</v>
      </c>
      <c r="E113" s="13">
        <f t="shared" si="50"/>
        <v>2647.2599999999998</v>
      </c>
      <c r="F113" s="13"/>
      <c r="G113" s="13">
        <v>240.66</v>
      </c>
      <c r="H113" s="13">
        <f t="shared" si="38"/>
        <v>2647.2599999999998</v>
      </c>
      <c r="I113" s="13"/>
      <c r="J113" s="13">
        <v>240.66</v>
      </c>
      <c r="K113" s="13">
        <f t="shared" si="39"/>
        <v>2647.2599999999998</v>
      </c>
      <c r="L113" s="13"/>
      <c r="M113" s="13">
        <v>240.66</v>
      </c>
      <c r="N113" s="13">
        <f t="shared" si="40"/>
        <v>2647.2599999999998</v>
      </c>
      <c r="O113" s="13"/>
      <c r="P113" s="13">
        <v>240.66</v>
      </c>
      <c r="Q113" s="13">
        <f t="shared" si="41"/>
        <v>2647.2599999999998</v>
      </c>
      <c r="R113" s="13"/>
      <c r="S113" s="13">
        <v>240.66</v>
      </c>
      <c r="T113" s="13">
        <f t="shared" si="42"/>
        <v>2647.2599999999998</v>
      </c>
      <c r="U113" s="13"/>
      <c r="V113" s="13">
        <v>240.66</v>
      </c>
      <c r="W113" s="13">
        <f t="shared" si="43"/>
        <v>2647.2599999999998</v>
      </c>
      <c r="X113" s="13"/>
      <c r="Y113" s="13">
        <v>240.66</v>
      </c>
      <c r="Z113" s="13">
        <f t="shared" si="44"/>
        <v>2647.2599999999998</v>
      </c>
      <c r="AB113" s="13">
        <v>240.66</v>
      </c>
      <c r="AC113" s="13">
        <f t="shared" si="45"/>
        <v>2647.2599999999998</v>
      </c>
      <c r="AE113" s="13">
        <v>240.66</v>
      </c>
      <c r="AF113" s="13">
        <f t="shared" si="46"/>
        <v>2647.2599999999998</v>
      </c>
      <c r="AH113" s="13">
        <v>240.66</v>
      </c>
      <c r="AI113" s="13">
        <f t="shared" si="47"/>
        <v>2647.2599999999998</v>
      </c>
      <c r="AK113" s="13">
        <v>240.66</v>
      </c>
      <c r="AL113" s="86">
        <f t="shared" si="48"/>
        <v>2647.2599999999998</v>
      </c>
      <c r="AM113" s="101">
        <f t="shared" si="49"/>
        <v>31767.119999999992</v>
      </c>
    </row>
    <row r="114" spans="1:39" ht="15.75" customHeight="1" x14ac:dyDescent="0.2">
      <c r="A114" s="75"/>
      <c r="B114" s="76" t="s">
        <v>493</v>
      </c>
      <c r="C114" s="13"/>
      <c r="D114" s="13">
        <v>480.72</v>
      </c>
      <c r="E114" s="13">
        <f t="shared" si="50"/>
        <v>6970.4400000000005</v>
      </c>
      <c r="F114" s="13"/>
      <c r="G114" s="13">
        <v>480.72</v>
      </c>
      <c r="H114" s="13">
        <f t="shared" si="38"/>
        <v>6970.4400000000005</v>
      </c>
      <c r="I114" s="13"/>
      <c r="J114" s="13">
        <v>480.72</v>
      </c>
      <c r="K114" s="13">
        <f t="shared" si="39"/>
        <v>6970.4400000000005</v>
      </c>
      <c r="L114" s="13"/>
      <c r="M114" s="13">
        <v>480.72</v>
      </c>
      <c r="N114" s="13">
        <f t="shared" si="40"/>
        <v>6970.4400000000005</v>
      </c>
      <c r="O114" s="13"/>
      <c r="P114" s="13">
        <v>480.72</v>
      </c>
      <c r="Q114" s="13">
        <f t="shared" si="41"/>
        <v>6970.4400000000005</v>
      </c>
      <c r="R114" s="13"/>
      <c r="S114" s="13">
        <v>480.72</v>
      </c>
      <c r="T114" s="13">
        <f t="shared" si="42"/>
        <v>6970.4400000000005</v>
      </c>
      <c r="U114" s="13"/>
      <c r="V114" s="13">
        <v>480.72</v>
      </c>
      <c r="W114" s="13">
        <f t="shared" si="43"/>
        <v>6970.4400000000005</v>
      </c>
      <c r="X114" s="13"/>
      <c r="Y114" s="13">
        <v>480.72</v>
      </c>
      <c r="Z114" s="13">
        <f t="shared" si="44"/>
        <v>6970.4400000000005</v>
      </c>
      <c r="AB114" s="13">
        <v>480.72</v>
      </c>
      <c r="AC114" s="13">
        <f t="shared" si="45"/>
        <v>6970.4400000000005</v>
      </c>
      <c r="AE114" s="13">
        <v>480.72</v>
      </c>
      <c r="AF114" s="13">
        <f t="shared" si="46"/>
        <v>6970.4400000000005</v>
      </c>
      <c r="AH114" s="13">
        <v>480.72</v>
      </c>
      <c r="AI114" s="13">
        <f t="shared" si="47"/>
        <v>6970.4400000000005</v>
      </c>
      <c r="AK114" s="13">
        <v>480.72</v>
      </c>
      <c r="AL114" s="86">
        <f t="shared" si="48"/>
        <v>6970.4400000000005</v>
      </c>
      <c r="AM114" s="101">
        <f t="shared" si="49"/>
        <v>83645.280000000013</v>
      </c>
    </row>
    <row r="115" spans="1:39" ht="15.75" customHeight="1" x14ac:dyDescent="0.2">
      <c r="A115" s="75"/>
      <c r="B115" s="76" t="s">
        <v>494</v>
      </c>
      <c r="C115" s="13"/>
      <c r="D115" s="13">
        <v>182.8</v>
      </c>
      <c r="E115" s="13">
        <f t="shared" si="50"/>
        <v>1569.0333333333335</v>
      </c>
      <c r="F115" s="13"/>
      <c r="G115" s="13">
        <v>182.8</v>
      </c>
      <c r="H115" s="13">
        <f t="shared" si="38"/>
        <v>1569.0333333333335</v>
      </c>
      <c r="I115" s="13"/>
      <c r="J115" s="13">
        <v>182.8</v>
      </c>
      <c r="K115" s="13">
        <f t="shared" si="39"/>
        <v>1569.0333333333335</v>
      </c>
      <c r="L115" s="13"/>
      <c r="M115" s="13">
        <v>182.8</v>
      </c>
      <c r="N115" s="13">
        <f t="shared" si="40"/>
        <v>1569.0333333333335</v>
      </c>
      <c r="O115" s="13"/>
      <c r="P115" s="13">
        <v>182.8</v>
      </c>
      <c r="Q115" s="13">
        <f t="shared" si="41"/>
        <v>1569.0333333333335</v>
      </c>
      <c r="R115" s="13"/>
      <c r="S115" s="13">
        <v>182.8</v>
      </c>
      <c r="T115" s="13">
        <f t="shared" si="42"/>
        <v>1569.0333333333335</v>
      </c>
      <c r="U115" s="13"/>
      <c r="V115" s="13">
        <v>182.8</v>
      </c>
      <c r="W115" s="13">
        <f t="shared" si="43"/>
        <v>1569.0333333333335</v>
      </c>
      <c r="X115" s="13"/>
      <c r="Y115" s="13">
        <v>182.8</v>
      </c>
      <c r="Z115" s="13">
        <f t="shared" si="44"/>
        <v>1569.0333333333335</v>
      </c>
      <c r="AB115" s="13">
        <v>182.8</v>
      </c>
      <c r="AC115" s="13">
        <f t="shared" si="45"/>
        <v>1569.0333333333335</v>
      </c>
      <c r="AE115" s="13">
        <v>182.8</v>
      </c>
      <c r="AF115" s="13">
        <f t="shared" si="46"/>
        <v>1569.0333333333335</v>
      </c>
      <c r="AH115" s="13">
        <v>182.8</v>
      </c>
      <c r="AI115" s="13">
        <f t="shared" si="47"/>
        <v>1569.0333333333335</v>
      </c>
      <c r="AK115" s="13">
        <v>182.8</v>
      </c>
      <c r="AL115" s="86">
        <f t="shared" si="48"/>
        <v>1569.0333333333335</v>
      </c>
      <c r="AM115" s="101">
        <f t="shared" si="49"/>
        <v>18828.399999999998</v>
      </c>
    </row>
    <row r="116" spans="1:39" ht="15.75" customHeight="1" x14ac:dyDescent="0.2">
      <c r="A116" s="75"/>
      <c r="B116" s="76" t="s">
        <v>494</v>
      </c>
      <c r="C116" s="13"/>
      <c r="D116" s="13">
        <v>365</v>
      </c>
      <c r="E116" s="13">
        <f t="shared" si="50"/>
        <v>1551.25</v>
      </c>
      <c r="F116" s="13"/>
      <c r="G116" s="13">
        <v>365</v>
      </c>
      <c r="H116" s="13">
        <f t="shared" si="38"/>
        <v>1551.25</v>
      </c>
      <c r="I116" s="13"/>
      <c r="J116" s="13">
        <v>365</v>
      </c>
      <c r="K116" s="13">
        <f t="shared" si="39"/>
        <v>1551.25</v>
      </c>
      <c r="L116" s="13"/>
      <c r="M116" s="13">
        <v>365</v>
      </c>
      <c r="N116" s="13">
        <f t="shared" si="40"/>
        <v>1551.25</v>
      </c>
      <c r="O116" s="13"/>
      <c r="P116" s="13">
        <v>365</v>
      </c>
      <c r="Q116" s="13">
        <f t="shared" si="41"/>
        <v>1551.25</v>
      </c>
      <c r="R116" s="13"/>
      <c r="S116" s="13">
        <v>365</v>
      </c>
      <c r="T116" s="13">
        <f t="shared" si="42"/>
        <v>1551.25</v>
      </c>
      <c r="U116" s="13"/>
      <c r="V116" s="13">
        <v>365</v>
      </c>
      <c r="W116" s="13">
        <f t="shared" si="43"/>
        <v>1551.25</v>
      </c>
      <c r="X116" s="13"/>
      <c r="Y116" s="13">
        <v>365</v>
      </c>
      <c r="Z116" s="13">
        <f t="shared" si="44"/>
        <v>1551.25</v>
      </c>
      <c r="AB116" s="13">
        <v>365</v>
      </c>
      <c r="AC116" s="13">
        <f t="shared" si="45"/>
        <v>1551.25</v>
      </c>
      <c r="AE116" s="13">
        <v>365</v>
      </c>
      <c r="AF116" s="13">
        <f t="shared" si="46"/>
        <v>1551.25</v>
      </c>
      <c r="AH116" s="13">
        <v>365</v>
      </c>
      <c r="AI116" s="13">
        <f t="shared" si="47"/>
        <v>1551.25</v>
      </c>
      <c r="AK116" s="13">
        <v>365</v>
      </c>
      <c r="AL116" s="86">
        <f t="shared" si="48"/>
        <v>1551.25</v>
      </c>
      <c r="AM116" s="101">
        <f t="shared" si="49"/>
        <v>18615</v>
      </c>
    </row>
    <row r="117" spans="1:39" ht="15.75" customHeight="1" x14ac:dyDescent="0.2">
      <c r="A117" s="75"/>
      <c r="B117" s="76" t="s">
        <v>495</v>
      </c>
      <c r="C117" s="13"/>
      <c r="D117" s="13">
        <v>42.62</v>
      </c>
      <c r="E117" s="13">
        <f t="shared" si="50"/>
        <v>3707.9399999999996</v>
      </c>
      <c r="F117" s="13"/>
      <c r="G117" s="13">
        <v>42.62</v>
      </c>
      <c r="H117" s="13">
        <f t="shared" si="38"/>
        <v>3707.9399999999996</v>
      </c>
      <c r="I117" s="13"/>
      <c r="J117" s="13">
        <v>42.62</v>
      </c>
      <c r="K117" s="13">
        <f t="shared" si="39"/>
        <v>3707.9399999999996</v>
      </c>
      <c r="L117" s="13"/>
      <c r="M117" s="13">
        <v>42.62</v>
      </c>
      <c r="N117" s="13">
        <f t="shared" si="40"/>
        <v>3707.9399999999996</v>
      </c>
      <c r="O117" s="13"/>
      <c r="P117" s="13">
        <v>42.62</v>
      </c>
      <c r="Q117" s="13">
        <f t="shared" si="41"/>
        <v>3707.9399999999996</v>
      </c>
      <c r="R117" s="13"/>
      <c r="S117" s="13">
        <v>42.62</v>
      </c>
      <c r="T117" s="13">
        <f t="shared" si="42"/>
        <v>3707.9399999999996</v>
      </c>
      <c r="U117" s="13"/>
      <c r="V117" s="13">
        <v>42.62</v>
      </c>
      <c r="W117" s="13">
        <f t="shared" si="43"/>
        <v>3707.9399999999996</v>
      </c>
      <c r="X117" s="13"/>
      <c r="Y117" s="13">
        <v>42.62</v>
      </c>
      <c r="Z117" s="13">
        <f t="shared" si="44"/>
        <v>3707.9399999999996</v>
      </c>
      <c r="AB117" s="13">
        <v>42.62</v>
      </c>
      <c r="AC117" s="13">
        <f t="shared" si="45"/>
        <v>3707.9399999999996</v>
      </c>
      <c r="AE117" s="13">
        <v>42.62</v>
      </c>
      <c r="AF117" s="13">
        <f t="shared" si="46"/>
        <v>3707.9399999999996</v>
      </c>
      <c r="AH117" s="13">
        <v>42.62</v>
      </c>
      <c r="AI117" s="13">
        <f t="shared" si="47"/>
        <v>3707.9399999999996</v>
      </c>
      <c r="AK117" s="13">
        <v>42.62</v>
      </c>
      <c r="AL117" s="86">
        <f t="shared" si="48"/>
        <v>3707.9399999999996</v>
      </c>
      <c r="AM117" s="101">
        <f t="shared" si="49"/>
        <v>44495.28</v>
      </c>
    </row>
    <row r="118" spans="1:39" ht="15.75" customHeight="1" x14ac:dyDescent="0.2">
      <c r="A118" s="75"/>
      <c r="B118" s="76" t="s">
        <v>495</v>
      </c>
      <c r="C118" s="13"/>
      <c r="D118" s="13">
        <v>85.04</v>
      </c>
      <c r="E118" s="13">
        <f t="shared" si="50"/>
        <v>1573.24</v>
      </c>
      <c r="F118" s="13"/>
      <c r="G118" s="13">
        <v>85.04</v>
      </c>
      <c r="H118" s="13">
        <f t="shared" si="38"/>
        <v>1573.24</v>
      </c>
      <c r="I118" s="13"/>
      <c r="J118" s="13">
        <v>85.04</v>
      </c>
      <c r="K118" s="13">
        <f t="shared" si="39"/>
        <v>1573.24</v>
      </c>
      <c r="L118" s="13"/>
      <c r="M118" s="13">
        <v>85.04</v>
      </c>
      <c r="N118" s="13">
        <f t="shared" si="40"/>
        <v>1573.24</v>
      </c>
      <c r="O118" s="13"/>
      <c r="P118" s="13">
        <v>85.04</v>
      </c>
      <c r="Q118" s="13">
        <f t="shared" si="41"/>
        <v>1573.24</v>
      </c>
      <c r="R118" s="13"/>
      <c r="S118" s="13">
        <v>85.04</v>
      </c>
      <c r="T118" s="13">
        <f t="shared" si="42"/>
        <v>1573.24</v>
      </c>
      <c r="U118" s="13"/>
      <c r="V118" s="13">
        <v>85.04</v>
      </c>
      <c r="W118" s="13">
        <f t="shared" si="43"/>
        <v>1573.24</v>
      </c>
      <c r="X118" s="13"/>
      <c r="Y118" s="13">
        <v>85.04</v>
      </c>
      <c r="Z118" s="13">
        <f t="shared" si="44"/>
        <v>1573.24</v>
      </c>
      <c r="AB118" s="13">
        <v>85.04</v>
      </c>
      <c r="AC118" s="13">
        <f t="shared" si="45"/>
        <v>1573.24</v>
      </c>
      <c r="AE118" s="13">
        <v>85.04</v>
      </c>
      <c r="AF118" s="13">
        <f t="shared" si="46"/>
        <v>1573.24</v>
      </c>
      <c r="AH118" s="13">
        <v>85.04</v>
      </c>
      <c r="AI118" s="13">
        <f t="shared" si="47"/>
        <v>1573.24</v>
      </c>
      <c r="AK118" s="13">
        <v>85.04</v>
      </c>
      <c r="AL118" s="86">
        <f t="shared" si="48"/>
        <v>1573.24</v>
      </c>
      <c r="AM118" s="101">
        <f t="shared" si="49"/>
        <v>18878.88</v>
      </c>
    </row>
    <row r="119" spans="1:39" ht="15.75" customHeight="1" x14ac:dyDescent="0.2">
      <c r="A119" s="75"/>
      <c r="B119" s="76" t="s">
        <v>424</v>
      </c>
      <c r="C119" s="13"/>
      <c r="D119" s="13">
        <v>68.935000000000002</v>
      </c>
      <c r="E119" s="13">
        <f t="shared" si="50"/>
        <v>114.89166666666668</v>
      </c>
      <c r="F119" s="13"/>
      <c r="G119" s="13">
        <v>68.935000000000002</v>
      </c>
      <c r="H119" s="13">
        <f t="shared" si="38"/>
        <v>114.89166666666668</v>
      </c>
      <c r="I119" s="13"/>
      <c r="J119" s="13">
        <v>68.935000000000002</v>
      </c>
      <c r="K119" s="13">
        <f t="shared" si="39"/>
        <v>114.89166666666668</v>
      </c>
      <c r="L119" s="13"/>
      <c r="M119" s="13">
        <v>68.935000000000002</v>
      </c>
      <c r="N119" s="13">
        <f t="shared" si="40"/>
        <v>114.89166666666668</v>
      </c>
      <c r="O119" s="13"/>
      <c r="P119" s="13">
        <v>68.935000000000002</v>
      </c>
      <c r="Q119" s="13">
        <f t="shared" si="41"/>
        <v>114.89166666666668</v>
      </c>
      <c r="R119" s="13"/>
      <c r="S119" s="13">
        <v>68.935000000000002</v>
      </c>
      <c r="T119" s="13">
        <f t="shared" si="42"/>
        <v>114.89166666666668</v>
      </c>
      <c r="U119" s="13"/>
      <c r="V119" s="13">
        <v>68.935000000000002</v>
      </c>
      <c r="W119" s="13">
        <f t="shared" si="43"/>
        <v>114.89166666666668</v>
      </c>
      <c r="X119" s="13"/>
      <c r="Y119" s="13">
        <v>68.935000000000002</v>
      </c>
      <c r="Z119" s="13">
        <f t="shared" si="44"/>
        <v>114.89166666666668</v>
      </c>
      <c r="AB119" s="13">
        <v>68.935000000000002</v>
      </c>
      <c r="AC119" s="13">
        <f t="shared" si="45"/>
        <v>114.89166666666668</v>
      </c>
      <c r="AE119" s="13">
        <v>68.935000000000002</v>
      </c>
      <c r="AF119" s="13">
        <f t="shared" si="46"/>
        <v>114.89166666666668</v>
      </c>
      <c r="AH119" s="13">
        <v>68.935000000000002</v>
      </c>
      <c r="AI119" s="13">
        <f t="shared" si="47"/>
        <v>114.89166666666668</v>
      </c>
      <c r="AK119" s="13">
        <v>68.935000000000002</v>
      </c>
      <c r="AL119" s="86">
        <f t="shared" si="48"/>
        <v>114.89166666666668</v>
      </c>
      <c r="AM119" s="101">
        <f t="shared" si="49"/>
        <v>1378.7</v>
      </c>
    </row>
    <row r="120" spans="1:39" ht="15.75" customHeight="1" x14ac:dyDescent="0.2">
      <c r="A120" s="75"/>
      <c r="B120" s="76" t="s">
        <v>424</v>
      </c>
      <c r="C120" s="13"/>
      <c r="D120" s="13">
        <v>137.66999999999999</v>
      </c>
      <c r="E120" s="13">
        <f t="shared" si="50"/>
        <v>573.625</v>
      </c>
      <c r="F120" s="13"/>
      <c r="G120" s="13">
        <v>137.66999999999999</v>
      </c>
      <c r="H120" s="13">
        <f t="shared" si="38"/>
        <v>573.625</v>
      </c>
      <c r="I120" s="13"/>
      <c r="J120" s="13">
        <v>137.66999999999999</v>
      </c>
      <c r="K120" s="13">
        <f t="shared" si="39"/>
        <v>573.625</v>
      </c>
      <c r="L120" s="13"/>
      <c r="M120" s="13">
        <v>137.66999999999999</v>
      </c>
      <c r="N120" s="13">
        <f t="shared" si="40"/>
        <v>573.625</v>
      </c>
      <c r="O120" s="13"/>
      <c r="P120" s="13">
        <v>137.66999999999999</v>
      </c>
      <c r="Q120" s="13">
        <f t="shared" si="41"/>
        <v>573.625</v>
      </c>
      <c r="R120" s="13"/>
      <c r="S120" s="13">
        <v>137.66999999999999</v>
      </c>
      <c r="T120" s="13">
        <f t="shared" si="42"/>
        <v>573.625</v>
      </c>
      <c r="U120" s="13"/>
      <c r="V120" s="13">
        <v>137.66999999999999</v>
      </c>
      <c r="W120" s="13">
        <f t="shared" si="43"/>
        <v>573.625</v>
      </c>
      <c r="X120" s="13"/>
      <c r="Y120" s="13">
        <v>137.66999999999999</v>
      </c>
      <c r="Z120" s="13">
        <f t="shared" si="44"/>
        <v>573.625</v>
      </c>
      <c r="AB120" s="13">
        <v>137.66999999999999</v>
      </c>
      <c r="AC120" s="13">
        <f t="shared" si="45"/>
        <v>573.625</v>
      </c>
      <c r="AE120" s="13">
        <v>137.66999999999999</v>
      </c>
      <c r="AF120" s="13">
        <f t="shared" si="46"/>
        <v>573.625</v>
      </c>
      <c r="AH120" s="13">
        <v>137.66999999999999</v>
      </c>
      <c r="AI120" s="13">
        <f t="shared" si="47"/>
        <v>573.625</v>
      </c>
      <c r="AK120" s="13">
        <v>137.66999999999999</v>
      </c>
      <c r="AL120" s="86">
        <f t="shared" si="48"/>
        <v>573.625</v>
      </c>
      <c r="AM120" s="101">
        <f t="shared" si="49"/>
        <v>6883.5</v>
      </c>
    </row>
    <row r="121" spans="1:39" ht="15.75" customHeight="1" x14ac:dyDescent="0.2">
      <c r="A121" s="75"/>
      <c r="B121" s="76" t="s">
        <v>496</v>
      </c>
      <c r="C121" s="13"/>
      <c r="D121" s="13">
        <v>136.43</v>
      </c>
      <c r="E121" s="13">
        <f t="shared" si="50"/>
        <v>625.30416666666667</v>
      </c>
      <c r="F121" s="13"/>
      <c r="G121" s="13">
        <v>136.43</v>
      </c>
      <c r="H121" s="13">
        <f t="shared" si="38"/>
        <v>625.30416666666667</v>
      </c>
      <c r="I121" s="13"/>
      <c r="J121" s="13">
        <v>136.43</v>
      </c>
      <c r="K121" s="13">
        <f t="shared" si="39"/>
        <v>625.30416666666667</v>
      </c>
      <c r="L121" s="13"/>
      <c r="M121" s="13">
        <v>136.43</v>
      </c>
      <c r="N121" s="13">
        <f t="shared" si="40"/>
        <v>625.30416666666667</v>
      </c>
      <c r="O121" s="13"/>
      <c r="P121" s="13">
        <v>136.43</v>
      </c>
      <c r="Q121" s="13">
        <f t="shared" si="41"/>
        <v>625.30416666666667</v>
      </c>
      <c r="R121" s="13"/>
      <c r="S121" s="13">
        <v>136.43</v>
      </c>
      <c r="T121" s="13">
        <f t="shared" si="42"/>
        <v>625.30416666666667</v>
      </c>
      <c r="U121" s="13"/>
      <c r="V121" s="13">
        <v>136.43</v>
      </c>
      <c r="W121" s="13">
        <f t="shared" si="43"/>
        <v>625.30416666666667</v>
      </c>
      <c r="X121" s="13"/>
      <c r="Y121" s="13">
        <v>136.43</v>
      </c>
      <c r="Z121" s="13">
        <f t="shared" si="44"/>
        <v>625.30416666666667</v>
      </c>
      <c r="AB121" s="13">
        <v>136.43</v>
      </c>
      <c r="AC121" s="13">
        <f t="shared" si="45"/>
        <v>625.30416666666667</v>
      </c>
      <c r="AE121" s="13">
        <v>136.43</v>
      </c>
      <c r="AF121" s="13">
        <f t="shared" si="46"/>
        <v>625.30416666666667</v>
      </c>
      <c r="AH121" s="13">
        <v>136.43</v>
      </c>
      <c r="AI121" s="13">
        <f t="shared" si="47"/>
        <v>625.30416666666667</v>
      </c>
      <c r="AK121" s="13">
        <v>136.43</v>
      </c>
      <c r="AL121" s="86">
        <f t="shared" si="48"/>
        <v>625.30416666666667</v>
      </c>
      <c r="AM121" s="101">
        <f t="shared" si="49"/>
        <v>7503.6500000000005</v>
      </c>
    </row>
    <row r="122" spans="1:39" ht="15.75" customHeight="1" x14ac:dyDescent="0.2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L122" s="94"/>
      <c r="AM122" s="100"/>
    </row>
    <row r="123" spans="1:39" ht="15.75" customHeight="1" x14ac:dyDescent="0.2">
      <c r="A123" s="82" t="s">
        <v>519</v>
      </c>
      <c r="B123" s="82"/>
      <c r="C123" s="13"/>
      <c r="D123" s="13"/>
      <c r="E123" s="83">
        <f>SUM(E111:E122)</f>
        <v>38146.367500000008</v>
      </c>
      <c r="F123" s="83"/>
      <c r="G123" s="83"/>
      <c r="H123" s="83">
        <f>SUM(H111:H122)</f>
        <v>38146.367500000008</v>
      </c>
      <c r="I123" s="83"/>
      <c r="J123" s="83"/>
      <c r="K123" s="83">
        <f>SUM(K111:K122)</f>
        <v>38146.367500000008</v>
      </c>
      <c r="L123" s="83"/>
      <c r="M123" s="83"/>
      <c r="N123" s="83">
        <f>SUM(N111:N122)</f>
        <v>38146.367500000008</v>
      </c>
      <c r="O123" s="83"/>
      <c r="P123" s="83"/>
      <c r="Q123" s="83">
        <f>SUM(Q111:Q122)</f>
        <v>38146.367500000008</v>
      </c>
      <c r="R123" s="83"/>
      <c r="S123" s="83"/>
      <c r="T123" s="83">
        <f>SUM(T111:T122)</f>
        <v>38146.367500000008</v>
      </c>
      <c r="U123" s="83"/>
      <c r="V123" s="83"/>
      <c r="W123" s="83">
        <f>SUM(W111:W122)</f>
        <v>38146.367500000008</v>
      </c>
      <c r="X123" s="83"/>
      <c r="Y123" s="83"/>
      <c r="Z123" s="83">
        <f>SUM(Z111:Z122)</f>
        <v>38146.367500000008</v>
      </c>
      <c r="AA123" s="88"/>
      <c r="AB123" s="88"/>
      <c r="AC123" s="83">
        <f>SUM(AC111:AC122)</f>
        <v>38146.367500000008</v>
      </c>
      <c r="AD123" s="88"/>
      <c r="AE123" s="88"/>
      <c r="AF123" s="83">
        <f>SUM(AF111:AF122)</f>
        <v>38146.367500000008</v>
      </c>
      <c r="AG123" s="88"/>
      <c r="AH123" s="88"/>
      <c r="AI123" s="83">
        <f>SUM(AI111:AI122)</f>
        <v>38146.367500000008</v>
      </c>
      <c r="AJ123" s="88"/>
      <c r="AK123" s="88"/>
      <c r="AL123" s="95">
        <f>SUM(AL111:AL122)</f>
        <v>38146.367500000008</v>
      </c>
      <c r="AM123" s="101">
        <f>SUM(AM111:AM122)</f>
        <v>457756.41000000009</v>
      </c>
    </row>
    <row r="124" spans="1:39" ht="15.75" customHeight="1" x14ac:dyDescent="0.2">
      <c r="A124" s="83"/>
      <c r="B124" s="8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  <c r="AL124" s="94"/>
      <c r="AM124" s="100"/>
    </row>
    <row r="125" spans="1:39" ht="15.75" customHeight="1" x14ac:dyDescent="0.2">
      <c r="A125" s="82" t="s">
        <v>520</v>
      </c>
      <c r="B125" s="82"/>
      <c r="C125" s="13"/>
      <c r="D125" s="13"/>
      <c r="E125" s="83">
        <f>+E108-E123</f>
        <v>35029.332500000004</v>
      </c>
      <c r="F125" s="83"/>
      <c r="G125" s="83"/>
      <c r="H125" s="83">
        <f>+H108-H123</f>
        <v>35029.332500000004</v>
      </c>
      <c r="I125" s="83"/>
      <c r="J125" s="83"/>
      <c r="K125" s="83">
        <f>+K108-K123</f>
        <v>35029.332500000004</v>
      </c>
      <c r="L125" s="83"/>
      <c r="M125" s="83"/>
      <c r="N125" s="83">
        <f>+N108-N123</f>
        <v>35029.332500000004</v>
      </c>
      <c r="O125" s="83"/>
      <c r="P125" s="83"/>
      <c r="Q125" s="83">
        <f>+Q108-Q123</f>
        <v>35029.332500000004</v>
      </c>
      <c r="R125" s="83"/>
      <c r="S125" s="83"/>
      <c r="T125" s="83">
        <f>+T108-T123</f>
        <v>35029.332500000004</v>
      </c>
      <c r="U125" s="83"/>
      <c r="V125" s="83"/>
      <c r="W125" s="83">
        <f>+W108-W123</f>
        <v>35029.332500000004</v>
      </c>
      <c r="X125" s="83"/>
      <c r="Y125" s="83"/>
      <c r="Z125" s="83">
        <f>+Z108-Z123</f>
        <v>35029.332500000004</v>
      </c>
      <c r="AA125" s="88"/>
      <c r="AB125" s="88"/>
      <c r="AC125" s="83">
        <f>+AC108-AC123</f>
        <v>35029.332500000004</v>
      </c>
      <c r="AD125" s="88"/>
      <c r="AE125" s="88"/>
      <c r="AF125" s="83">
        <f>+AF108-AF123</f>
        <v>35029.332500000004</v>
      </c>
      <c r="AG125" s="88"/>
      <c r="AH125" s="88"/>
      <c r="AI125" s="83">
        <f>+AI108-AI123</f>
        <v>35029.332500000004</v>
      </c>
      <c r="AJ125" s="88"/>
      <c r="AK125" s="88"/>
      <c r="AL125" s="95">
        <f>+AL108-AL123</f>
        <v>35029.332500000004</v>
      </c>
      <c r="AM125" s="101">
        <f>+AM108-AM123</f>
        <v>420351.98999999993</v>
      </c>
    </row>
    <row r="126" spans="1:39" ht="15.75" customHeight="1" x14ac:dyDescent="0.2">
      <c r="A126" s="83"/>
      <c r="B126" s="8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L126" s="94"/>
      <c r="AM126" s="100"/>
    </row>
    <row r="127" spans="1:39" ht="15.75" customHeight="1" x14ac:dyDescent="0.2">
      <c r="A127" s="84" t="s">
        <v>521</v>
      </c>
      <c r="B127" s="84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91"/>
      <c r="AB127" s="91"/>
      <c r="AC127" s="91"/>
      <c r="AD127" s="91"/>
      <c r="AE127" s="91"/>
      <c r="AF127" s="91"/>
      <c r="AG127" s="91"/>
      <c r="AH127" s="91"/>
      <c r="AI127" s="91"/>
      <c r="AJ127" s="91"/>
      <c r="AK127" s="91"/>
      <c r="AL127" s="96"/>
      <c r="AM127" s="102"/>
    </row>
    <row r="128" spans="1:39" ht="15.75" customHeight="1" x14ac:dyDescent="0.2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  <c r="AL128" s="94"/>
      <c r="AM128" s="100"/>
    </row>
    <row r="129" spans="1:39" ht="15.75" customHeight="1" x14ac:dyDescent="0.2">
      <c r="A129" s="13"/>
      <c r="B129" s="78" t="s">
        <v>484</v>
      </c>
      <c r="C129" s="86"/>
      <c r="D129" s="86"/>
      <c r="E129" s="86">
        <v>7700</v>
      </c>
      <c r="F129" s="86"/>
      <c r="G129" s="86"/>
      <c r="H129" s="86">
        <v>7700</v>
      </c>
      <c r="I129" s="86"/>
      <c r="J129" s="86"/>
      <c r="K129" s="86">
        <v>7700</v>
      </c>
      <c r="L129" s="13"/>
      <c r="M129" s="13"/>
      <c r="N129" s="13">
        <v>7700</v>
      </c>
      <c r="O129" s="13"/>
      <c r="P129" s="13"/>
      <c r="Q129" s="13">
        <v>7700</v>
      </c>
      <c r="R129" s="13"/>
      <c r="S129" s="13"/>
      <c r="T129" s="13">
        <v>7700</v>
      </c>
      <c r="U129" s="13"/>
      <c r="V129" s="13"/>
      <c r="W129" s="13">
        <v>7700</v>
      </c>
      <c r="X129" s="13"/>
      <c r="Y129" s="13"/>
      <c r="Z129" s="13">
        <v>7700</v>
      </c>
      <c r="AC129" s="13">
        <v>7700</v>
      </c>
      <c r="AF129" s="13">
        <v>7700</v>
      </c>
      <c r="AI129" s="13">
        <v>7700</v>
      </c>
      <c r="AL129" s="86">
        <v>7700</v>
      </c>
      <c r="AM129" s="101">
        <f t="shared" ref="AM129:AM132" si="51">+AL129+AI129+AF129+AC129+Z129+W129+T129+Q129+N129+K129+H129+E129</f>
        <v>92400</v>
      </c>
    </row>
    <row r="130" spans="1:39" ht="15.75" customHeight="1" x14ac:dyDescent="0.2">
      <c r="A130" s="13"/>
      <c r="B130" s="78" t="s">
        <v>485</v>
      </c>
      <c r="C130" s="86"/>
      <c r="D130" s="86"/>
      <c r="E130" s="86">
        <v>0</v>
      </c>
      <c r="F130" s="86"/>
      <c r="G130" s="86"/>
      <c r="H130" s="86">
        <v>0</v>
      </c>
      <c r="I130" s="86"/>
      <c r="J130" s="86"/>
      <c r="K130" s="86">
        <v>0</v>
      </c>
      <c r="L130" s="13"/>
      <c r="M130" s="13"/>
      <c r="N130" s="13">
        <v>0</v>
      </c>
      <c r="O130" s="13"/>
      <c r="P130" s="13"/>
      <c r="Q130" s="13">
        <v>0</v>
      </c>
      <c r="R130" s="13"/>
      <c r="S130" s="13"/>
      <c r="T130" s="13">
        <v>0</v>
      </c>
      <c r="U130" s="13"/>
      <c r="V130" s="13"/>
      <c r="W130" s="13">
        <v>0</v>
      </c>
      <c r="X130" s="13"/>
      <c r="Y130" s="13"/>
      <c r="Z130" s="13">
        <v>0</v>
      </c>
      <c r="AC130" s="13">
        <v>0</v>
      </c>
      <c r="AF130" s="13">
        <v>0</v>
      </c>
      <c r="AI130" s="13">
        <v>0</v>
      </c>
      <c r="AL130" s="86">
        <v>0</v>
      </c>
      <c r="AM130" s="101">
        <f t="shared" si="51"/>
        <v>0</v>
      </c>
    </row>
    <row r="131" spans="1:39" ht="15.75" customHeight="1" x14ac:dyDescent="0.2">
      <c r="A131" s="13"/>
      <c r="B131" s="78" t="s">
        <v>486</v>
      </c>
      <c r="C131" s="86"/>
      <c r="D131" s="86"/>
      <c r="E131" s="86">
        <v>2000</v>
      </c>
      <c r="F131" s="86"/>
      <c r="G131" s="86"/>
      <c r="H131" s="86">
        <v>2000</v>
      </c>
      <c r="I131" s="86"/>
      <c r="J131" s="86"/>
      <c r="K131" s="86">
        <v>2000</v>
      </c>
      <c r="L131" s="13"/>
      <c r="M131" s="13"/>
      <c r="N131" s="13">
        <v>2000</v>
      </c>
      <c r="O131" s="13"/>
      <c r="P131" s="13"/>
      <c r="Q131" s="13">
        <v>2000</v>
      </c>
      <c r="R131" s="13"/>
      <c r="S131" s="13"/>
      <c r="T131" s="13">
        <v>2000</v>
      </c>
      <c r="U131" s="13"/>
      <c r="V131" s="13"/>
      <c r="W131" s="13">
        <v>2000</v>
      </c>
      <c r="X131" s="13"/>
      <c r="Y131" s="13"/>
      <c r="Z131" s="13">
        <v>2000</v>
      </c>
      <c r="AC131" s="13">
        <v>2000</v>
      </c>
      <c r="AF131" s="13">
        <v>2000</v>
      </c>
      <c r="AI131" s="13">
        <v>2000</v>
      </c>
      <c r="AL131" s="86">
        <v>2000</v>
      </c>
      <c r="AM131" s="101">
        <f t="shared" si="51"/>
        <v>24000</v>
      </c>
    </row>
    <row r="132" spans="1:39" ht="15.75" customHeight="1" x14ac:dyDescent="0.2">
      <c r="A132" s="13"/>
      <c r="B132" s="79"/>
      <c r="C132" s="86"/>
      <c r="D132" s="86"/>
      <c r="E132" s="86"/>
      <c r="F132" s="86"/>
      <c r="G132" s="86"/>
      <c r="H132" s="86"/>
      <c r="I132" s="86"/>
      <c r="J132" s="86"/>
      <c r="K132" s="86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C132" s="13"/>
      <c r="AF132" s="13"/>
      <c r="AI132" s="13"/>
      <c r="AL132" s="86"/>
      <c r="AM132" s="101">
        <f t="shared" si="51"/>
        <v>0</v>
      </c>
    </row>
    <row r="133" spans="1:39" ht="15.75" customHeight="1" x14ac:dyDescent="0.2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L133" s="94"/>
      <c r="AM133" s="103"/>
    </row>
    <row r="134" spans="1:39" ht="15.75" customHeight="1" x14ac:dyDescent="0.2">
      <c r="A134" s="13"/>
      <c r="B134" s="84" t="s">
        <v>522</v>
      </c>
      <c r="C134" s="13"/>
      <c r="D134" s="13"/>
      <c r="E134" s="13">
        <f>SUM(E129:E133)</f>
        <v>9700</v>
      </c>
      <c r="F134" s="13"/>
      <c r="G134" s="13"/>
      <c r="H134" s="13">
        <f>SUM(H129:H133)</f>
        <v>9700</v>
      </c>
      <c r="I134" s="13"/>
      <c r="J134" s="13"/>
      <c r="K134" s="13">
        <f>SUM(K129:K133)</f>
        <v>9700</v>
      </c>
      <c r="L134" s="13"/>
      <c r="M134" s="13"/>
      <c r="N134" s="13">
        <f>SUM(N129:N133)</f>
        <v>9700</v>
      </c>
      <c r="O134" s="13"/>
      <c r="P134" s="13"/>
      <c r="Q134" s="13">
        <f>SUM(Q129:Q133)</f>
        <v>9700</v>
      </c>
      <c r="R134" s="13"/>
      <c r="S134" s="13"/>
      <c r="T134" s="13">
        <f>SUM(T129:T133)</f>
        <v>9700</v>
      </c>
      <c r="U134" s="13"/>
      <c r="V134" s="13"/>
      <c r="W134" s="13">
        <f>SUM(W129:W133)</f>
        <v>9700</v>
      </c>
      <c r="X134" s="13"/>
      <c r="Y134" s="13"/>
      <c r="Z134" s="13">
        <f>SUM(Z129:Z133)</f>
        <v>9700</v>
      </c>
      <c r="AC134" s="13">
        <f>SUM(AC129:AC133)</f>
        <v>9700</v>
      </c>
      <c r="AF134" s="13">
        <f>SUM(AF129:AF133)</f>
        <v>9700</v>
      </c>
      <c r="AI134" s="13">
        <f>SUM(AI129:AI133)</f>
        <v>9700</v>
      </c>
      <c r="AL134" s="86">
        <f>SUM(AL129:AL133)</f>
        <v>9700</v>
      </c>
      <c r="AM134" s="101">
        <f t="shared" ref="AM134:AM144" si="52">+AL134+AI134+AF134+AC134+Z134+W134+T134+Q134+N134+K134+H134+E134</f>
        <v>116400</v>
      </c>
    </row>
    <row r="135" spans="1:39" ht="15.75" customHeight="1" x14ac:dyDescent="0.2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L135" s="94"/>
      <c r="AM135" s="103"/>
    </row>
    <row r="136" spans="1:39" ht="15.75" customHeight="1" x14ac:dyDescent="0.2">
      <c r="A136" s="85" t="s">
        <v>559</v>
      </c>
      <c r="B136" s="77"/>
      <c r="C136" s="13"/>
      <c r="D136" s="13"/>
      <c r="E136" s="83">
        <f>+E108-E123-E134</f>
        <v>25329.332500000004</v>
      </c>
      <c r="F136" s="13"/>
      <c r="G136" s="13"/>
      <c r="H136" s="83">
        <f>+H108-H123-H134</f>
        <v>25329.332500000004</v>
      </c>
      <c r="I136" s="13"/>
      <c r="J136" s="13"/>
      <c r="K136" s="83">
        <f>+K108-K123-K134</f>
        <v>25329.332500000004</v>
      </c>
      <c r="L136" s="13"/>
      <c r="M136" s="13"/>
      <c r="N136" s="83">
        <f>+N108-N123-N134</f>
        <v>25329.332500000004</v>
      </c>
      <c r="O136" s="13"/>
      <c r="P136" s="13"/>
      <c r="Q136" s="83">
        <f>+Q108-Q123-Q134</f>
        <v>25329.332500000004</v>
      </c>
      <c r="R136" s="13"/>
      <c r="S136" s="13"/>
      <c r="T136" s="83">
        <f>+T108-T123-T134</f>
        <v>25329.332500000004</v>
      </c>
      <c r="U136" s="13"/>
      <c r="V136" s="13"/>
      <c r="W136" s="83">
        <f>+W108-W123-W134</f>
        <v>25329.332500000004</v>
      </c>
      <c r="X136" s="13"/>
      <c r="Y136" s="13"/>
      <c r="Z136" s="13">
        <f>+Z108-Z123-Z134</f>
        <v>25329.332500000004</v>
      </c>
      <c r="AC136" s="13">
        <f>+AC108-AC123-AC134</f>
        <v>25329.332500000004</v>
      </c>
      <c r="AF136" s="13">
        <f>+AF108-AF123-AF134</f>
        <v>25329.332500000004</v>
      </c>
      <c r="AI136" s="13">
        <f>+AI108-AI123-AI134</f>
        <v>25329.332500000004</v>
      </c>
      <c r="AL136" s="86">
        <f>+AL108-AL123-AL134</f>
        <v>25329.332500000004</v>
      </c>
      <c r="AM136" s="101">
        <f t="shared" si="52"/>
        <v>303951.99000000011</v>
      </c>
    </row>
    <row r="137" spans="1:39" ht="15.75" customHeight="1" x14ac:dyDescent="0.2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L137" s="94"/>
      <c r="AM137" s="100"/>
    </row>
    <row r="138" spans="1:39" ht="15.75" customHeight="1" x14ac:dyDescent="0.2">
      <c r="A138" s="13"/>
      <c r="B138" s="151" t="s">
        <v>558</v>
      </c>
      <c r="C138" s="13"/>
      <c r="D138" s="13"/>
      <c r="E138" s="13">
        <v>0</v>
      </c>
      <c r="F138" s="13"/>
      <c r="G138" s="13"/>
      <c r="H138" s="13">
        <v>0</v>
      </c>
      <c r="I138" s="13"/>
      <c r="J138" s="13"/>
      <c r="K138" s="13">
        <v>0</v>
      </c>
      <c r="L138" s="13"/>
      <c r="M138" s="13"/>
      <c r="N138" s="13">
        <v>0</v>
      </c>
      <c r="O138" s="13"/>
      <c r="P138" s="13"/>
      <c r="Q138" s="13">
        <v>0</v>
      </c>
      <c r="R138" s="13"/>
      <c r="S138" s="13"/>
      <c r="T138" s="13">
        <v>0</v>
      </c>
      <c r="U138" s="13"/>
      <c r="V138" s="13"/>
      <c r="W138" s="13">
        <v>0</v>
      </c>
      <c r="X138" s="13"/>
      <c r="Y138" s="13"/>
      <c r="Z138" s="13">
        <v>0</v>
      </c>
      <c r="AC138">
        <v>0</v>
      </c>
      <c r="AF138">
        <v>0</v>
      </c>
      <c r="AI138">
        <v>0</v>
      </c>
      <c r="AL138">
        <v>0</v>
      </c>
      <c r="AM138" s="101">
        <f t="shared" si="52"/>
        <v>0</v>
      </c>
    </row>
    <row r="139" spans="1:39" ht="15.75" customHeight="1" x14ac:dyDescent="0.2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39" ht="15.75" customHeight="1" x14ac:dyDescent="0.2">
      <c r="A140" s="152" t="s">
        <v>560</v>
      </c>
      <c r="B140" s="153"/>
      <c r="C140" s="13"/>
      <c r="D140" s="13"/>
      <c r="E140" s="13">
        <f>+E136-E138</f>
        <v>25329.332500000004</v>
      </c>
      <c r="F140" s="13"/>
      <c r="G140" s="13"/>
      <c r="H140" s="13">
        <f>+H136-H138</f>
        <v>25329.332500000004</v>
      </c>
      <c r="I140" s="13"/>
      <c r="J140" s="13"/>
      <c r="K140" s="13">
        <f>+K136-K138</f>
        <v>25329.332500000004</v>
      </c>
      <c r="L140" s="13"/>
      <c r="M140" s="13"/>
      <c r="N140" s="13">
        <f>+N136-N138</f>
        <v>25329.332500000004</v>
      </c>
      <c r="O140" s="13"/>
      <c r="P140" s="13"/>
      <c r="Q140" s="13">
        <f>+Q136-Q138</f>
        <v>25329.332500000004</v>
      </c>
      <c r="R140" s="13"/>
      <c r="S140" s="13"/>
      <c r="T140" s="13">
        <f>+T136-T138</f>
        <v>25329.332500000004</v>
      </c>
      <c r="U140" s="13"/>
      <c r="V140" s="13"/>
      <c r="W140" s="13">
        <f>+W136-W138</f>
        <v>25329.332500000004</v>
      </c>
      <c r="X140" s="13"/>
      <c r="Y140" s="13"/>
      <c r="Z140" s="13">
        <f>+Z136-Z138</f>
        <v>25329.332500000004</v>
      </c>
      <c r="AC140" s="13">
        <f>+AC136-AC138</f>
        <v>25329.332500000004</v>
      </c>
      <c r="AF140" s="13">
        <f>+AF136-AF138</f>
        <v>25329.332500000004</v>
      </c>
      <c r="AI140" s="13">
        <f>+AI136-AI138</f>
        <v>25329.332500000004</v>
      </c>
      <c r="AL140" s="13">
        <f>+AL136-AL138</f>
        <v>25329.332500000004</v>
      </c>
      <c r="AM140" s="101">
        <f t="shared" si="52"/>
        <v>303951.99000000011</v>
      </c>
    </row>
    <row r="141" spans="1:39" ht="15.75" customHeight="1" x14ac:dyDescent="0.2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39" ht="15.75" customHeight="1" x14ac:dyDescent="0.2">
      <c r="A142" s="13"/>
      <c r="B142" s="151" t="s">
        <v>561</v>
      </c>
      <c r="C142" s="13"/>
      <c r="D142" s="13"/>
      <c r="E142" s="176">
        <f>+E140*25%</f>
        <v>6332.333125000001</v>
      </c>
      <c r="F142" s="13"/>
      <c r="G142" s="13"/>
      <c r="H142" s="13">
        <f>+H140*25%</f>
        <v>6332.333125000001</v>
      </c>
      <c r="I142" s="13"/>
      <c r="J142" s="13"/>
      <c r="K142" s="13">
        <f>+K140*25%</f>
        <v>6332.333125000001</v>
      </c>
      <c r="L142" s="13"/>
      <c r="M142" s="13"/>
      <c r="N142" s="13">
        <f>+N140*25%</f>
        <v>6332.333125000001</v>
      </c>
      <c r="O142" s="13"/>
      <c r="P142" s="13"/>
      <c r="Q142" s="13">
        <f>+Q140*25%</f>
        <v>6332.333125000001</v>
      </c>
      <c r="R142" s="13"/>
      <c r="S142" s="13"/>
      <c r="T142" s="13">
        <f>+T140*25%</f>
        <v>6332.333125000001</v>
      </c>
      <c r="U142" s="13"/>
      <c r="V142" s="13"/>
      <c r="W142" s="13">
        <f>+W140*25%</f>
        <v>6332.333125000001</v>
      </c>
      <c r="X142" s="13"/>
      <c r="Y142" s="13"/>
      <c r="Z142" s="13">
        <f>+Z140*25%</f>
        <v>6332.333125000001</v>
      </c>
      <c r="AC142" s="13">
        <f>+AC140*25%</f>
        <v>6332.333125000001</v>
      </c>
      <c r="AF142" s="13">
        <f>+AF140*25%</f>
        <v>6332.333125000001</v>
      </c>
      <c r="AI142" s="13">
        <f>+AI140*25%</f>
        <v>6332.333125000001</v>
      </c>
      <c r="AL142" s="13">
        <f>+AL140*25%</f>
        <v>6332.333125000001</v>
      </c>
      <c r="AM142" s="101">
        <f t="shared" si="52"/>
        <v>75987.997500000027</v>
      </c>
    </row>
    <row r="143" spans="1:39" ht="15.75" customHeight="1" x14ac:dyDescent="0.2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39" ht="15.75" customHeight="1" x14ac:dyDescent="0.2">
      <c r="A144" s="152" t="s">
        <v>562</v>
      </c>
      <c r="B144" s="153"/>
      <c r="C144" s="13"/>
      <c r="D144" s="13"/>
      <c r="E144" s="13">
        <f>+E140-E142</f>
        <v>18996.999375000003</v>
      </c>
      <c r="F144" s="13"/>
      <c r="G144" s="13"/>
      <c r="H144" s="13">
        <f>+H140-H142</f>
        <v>18996.999375000003</v>
      </c>
      <c r="I144" s="13"/>
      <c r="J144" s="13"/>
      <c r="K144" s="13">
        <f>+K140-K142</f>
        <v>18996.999375000003</v>
      </c>
      <c r="L144" s="13"/>
      <c r="M144" s="13"/>
      <c r="N144" s="13">
        <f>+N140-N142</f>
        <v>18996.999375000003</v>
      </c>
      <c r="O144" s="13"/>
      <c r="P144" s="13"/>
      <c r="Q144" s="13">
        <f>+Q140-Q142</f>
        <v>18996.999375000003</v>
      </c>
      <c r="R144" s="13"/>
      <c r="S144" s="13"/>
      <c r="T144" s="13">
        <f>+T140-T142</f>
        <v>18996.999375000003</v>
      </c>
      <c r="U144" s="13"/>
      <c r="V144" s="13"/>
      <c r="W144" s="13">
        <f>+W140-W142</f>
        <v>18996.999375000003</v>
      </c>
      <c r="X144" s="13"/>
      <c r="Y144" s="13"/>
      <c r="Z144" s="13">
        <f>+Z140-Z142</f>
        <v>18996.999375000003</v>
      </c>
      <c r="AC144" s="13">
        <f>+AC140-AC142</f>
        <v>18996.999375000003</v>
      </c>
      <c r="AF144" s="13">
        <f>+AF140-AF142</f>
        <v>18996.999375000003</v>
      </c>
      <c r="AI144" s="13">
        <f>+AI140-AI142</f>
        <v>18996.999375000003</v>
      </c>
      <c r="AL144" s="13">
        <f>+AL140-AL142</f>
        <v>18996.999375000003</v>
      </c>
      <c r="AM144" s="101">
        <f t="shared" si="52"/>
        <v>227963.99250000008</v>
      </c>
    </row>
    <row r="145" spans="1:39" ht="15.75" customHeight="1" x14ac:dyDescent="0.2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39" ht="15.75" customHeight="1" x14ac:dyDescent="0.2">
      <c r="A146" s="155" t="s">
        <v>563</v>
      </c>
      <c r="B146" s="63"/>
      <c r="C146" s="63">
        <v>143497.48000000001</v>
      </c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39" ht="15.75" customHeight="1" x14ac:dyDescent="0.2">
      <c r="A147" s="155" t="s">
        <v>566</v>
      </c>
      <c r="B147" s="63"/>
      <c r="C147" s="63">
        <v>193497.49</v>
      </c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39" ht="15.75" customHeight="1" x14ac:dyDescent="0.2">
      <c r="A148" s="151" t="s">
        <v>542</v>
      </c>
      <c r="B148" s="151" t="s">
        <v>564</v>
      </c>
      <c r="C148" s="13"/>
      <c r="D148" s="13"/>
      <c r="E148" s="154">
        <f>+E144/$C$146</f>
        <v>0.13238559572614098</v>
      </c>
      <c r="F148" s="13"/>
      <c r="G148" s="13"/>
      <c r="H148" s="154">
        <f>+H144/$C$146</f>
        <v>0.13238559572614098</v>
      </c>
      <c r="I148" s="13"/>
      <c r="J148" s="13"/>
      <c r="K148" s="154">
        <f>+K144/$C$146</f>
        <v>0.13238559572614098</v>
      </c>
      <c r="L148" s="13"/>
      <c r="M148" s="13"/>
      <c r="N148" s="154">
        <f>+N144/$C$146</f>
        <v>0.13238559572614098</v>
      </c>
      <c r="O148" s="13"/>
      <c r="P148" s="13"/>
      <c r="Q148" s="154">
        <f>+Q144/$C$146</f>
        <v>0.13238559572614098</v>
      </c>
      <c r="R148" s="13"/>
      <c r="S148" s="13"/>
      <c r="T148" s="154">
        <f>+T144/$C$146</f>
        <v>0.13238559572614098</v>
      </c>
      <c r="U148" s="13"/>
      <c r="V148" s="13"/>
      <c r="W148" s="154">
        <f>+W144/$C$146</f>
        <v>0.13238559572614098</v>
      </c>
      <c r="X148" s="13"/>
      <c r="Y148" s="13"/>
      <c r="Z148" s="154">
        <f>+Z144/$C$146</f>
        <v>0.13238559572614098</v>
      </c>
      <c r="AC148" s="154">
        <f>+AC144/$C$146</f>
        <v>0.13238559572614098</v>
      </c>
      <c r="AF148" s="154">
        <f>+AF144/$C$146</f>
        <v>0.13238559572614098</v>
      </c>
      <c r="AI148" s="154">
        <f>+AI144/$C$146</f>
        <v>0.13238559572614098</v>
      </c>
      <c r="AL148" s="154">
        <f>+AL144/$C$146</f>
        <v>0.13238559572614098</v>
      </c>
      <c r="AM148" s="156">
        <f>+AM144/C146</f>
        <v>1.588627148713692</v>
      </c>
    </row>
    <row r="149" spans="1:39" ht="15.75" customHeight="1" x14ac:dyDescent="0.2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M149" s="157"/>
    </row>
    <row r="150" spans="1:39" ht="15.75" customHeight="1" x14ac:dyDescent="0.2">
      <c r="A150" s="151" t="s">
        <v>565</v>
      </c>
      <c r="B150" s="151" t="s">
        <v>567</v>
      </c>
      <c r="C150" s="13"/>
      <c r="D150" s="13"/>
      <c r="E150" s="154">
        <f>+E144/$C$147</f>
        <v>9.8176980874532291E-2</v>
      </c>
      <c r="F150" s="154"/>
      <c r="G150" s="154"/>
      <c r="H150" s="154">
        <f>+H144/$C$147</f>
        <v>9.8176980874532291E-2</v>
      </c>
      <c r="I150" s="154"/>
      <c r="J150" s="154"/>
      <c r="K150" s="154">
        <f>+K144/$C$147</f>
        <v>9.8176980874532291E-2</v>
      </c>
      <c r="L150" s="154"/>
      <c r="M150" s="154"/>
      <c r="N150" s="154">
        <f>+N144/$C$147</f>
        <v>9.8176980874532291E-2</v>
      </c>
      <c r="O150" s="154"/>
      <c r="P150" s="154"/>
      <c r="Q150" s="154">
        <f>+Q144/$C$147</f>
        <v>9.8176980874532291E-2</v>
      </c>
      <c r="R150" s="154"/>
      <c r="S150" s="154"/>
      <c r="T150" s="154">
        <f>+T144/$C$147</f>
        <v>9.8176980874532291E-2</v>
      </c>
      <c r="U150" s="154"/>
      <c r="V150" s="154"/>
      <c r="W150" s="154">
        <f>+W144/$C$147</f>
        <v>9.8176980874532291E-2</v>
      </c>
      <c r="X150" s="154"/>
      <c r="Y150" s="154"/>
      <c r="Z150" s="154">
        <f>+Z144/$C$147</f>
        <v>9.8176980874532291E-2</v>
      </c>
      <c r="AA150" s="149"/>
      <c r="AB150" s="149"/>
      <c r="AC150" s="154">
        <f>+AC144/$C$147</f>
        <v>9.8176980874532291E-2</v>
      </c>
      <c r="AD150" s="149"/>
      <c r="AE150" s="149"/>
      <c r="AF150" s="154">
        <f>+AF144/$C$147</f>
        <v>9.8176980874532291E-2</v>
      </c>
      <c r="AG150" s="149"/>
      <c r="AH150" s="149"/>
      <c r="AI150" s="154">
        <f>+AI144/$C$147</f>
        <v>9.8176980874532291E-2</v>
      </c>
      <c r="AJ150" s="149"/>
      <c r="AK150" s="149"/>
      <c r="AL150" s="154">
        <f>+AL144/$C$147</f>
        <v>9.8176980874532291E-2</v>
      </c>
      <c r="AM150" s="156">
        <f>+AM144/$C$147</f>
        <v>1.1781237704943877</v>
      </c>
    </row>
    <row r="151" spans="1:39" ht="15.75" customHeight="1" x14ac:dyDescent="0.2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M151" s="157"/>
    </row>
    <row r="152" spans="1:39" ht="15.75" customHeight="1" x14ac:dyDescent="0.2">
      <c r="A152" s="151" t="s">
        <v>568</v>
      </c>
      <c r="B152" s="151" t="s">
        <v>569</v>
      </c>
      <c r="C152" s="13"/>
      <c r="D152" s="13"/>
      <c r="E152" s="154">
        <f>+E144/E108</f>
        <v>0.25960803073971278</v>
      </c>
      <c r="F152" s="13"/>
      <c r="G152" s="13"/>
      <c r="H152" s="154">
        <f>+H144/H108</f>
        <v>0.25960803073971278</v>
      </c>
      <c r="I152" s="13"/>
      <c r="J152" s="13"/>
      <c r="K152" s="154">
        <f>+K144/K108</f>
        <v>0.25960803073971278</v>
      </c>
      <c r="L152" s="13"/>
      <c r="M152" s="13"/>
      <c r="N152" s="154">
        <f>+N144/N108</f>
        <v>0.25960803073971278</v>
      </c>
      <c r="O152" s="13"/>
      <c r="P152" s="13"/>
      <c r="Q152" s="154">
        <f>+Q144/Q108</f>
        <v>0.25960803073971278</v>
      </c>
      <c r="R152" s="13"/>
      <c r="S152" s="13"/>
      <c r="T152" s="154">
        <f>+T144/T108</f>
        <v>0.25960803073971278</v>
      </c>
      <c r="U152" s="13"/>
      <c r="V152" s="13"/>
      <c r="W152" s="154">
        <f>+W144/W108</f>
        <v>0.25960803073971278</v>
      </c>
      <c r="X152" s="13"/>
      <c r="Y152" s="13"/>
      <c r="Z152" s="154">
        <f>+Z144/Z108</f>
        <v>0.25960803073971278</v>
      </c>
      <c r="AC152" s="154">
        <f>+AC144/AC108</f>
        <v>0.25960803073971278</v>
      </c>
      <c r="AF152" s="154">
        <f>+AF144/AF108</f>
        <v>0.25960803073971278</v>
      </c>
      <c r="AI152" s="154">
        <f>+AI144/AI108</f>
        <v>0.25960803073971278</v>
      </c>
      <c r="AL152" s="154">
        <f>+AL144/AL108</f>
        <v>0.25960803073971278</v>
      </c>
      <c r="AM152" s="156">
        <f>+AM144/AM108</f>
        <v>0.25960803073971284</v>
      </c>
    </row>
    <row r="153" spans="1:39" ht="15.75" customHeight="1" x14ac:dyDescent="0.2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39" ht="15.75" customHeight="1" x14ac:dyDescent="0.2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39" ht="15.75" customHeight="1" x14ac:dyDescent="0.2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39" ht="15.75" customHeight="1" x14ac:dyDescent="0.2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39" ht="15.75" customHeight="1" x14ac:dyDescent="0.2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39" ht="15.75" customHeight="1" x14ac:dyDescent="0.2">
      <c r="A158" s="151" t="s">
        <v>578</v>
      </c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39" ht="15.75" customHeight="1" x14ac:dyDescent="0.2">
      <c r="A159" s="13">
        <v>3.5000000000000003E-2</v>
      </c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39" ht="15.75" customHeight="1" x14ac:dyDescent="0.2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5.75" customHeight="1" x14ac:dyDescent="0.2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5.75" customHeight="1" x14ac:dyDescent="0.2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5.75" customHeight="1" x14ac:dyDescent="0.2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5.75" customHeight="1" x14ac:dyDescent="0.2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5.75" customHeight="1" x14ac:dyDescent="0.2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5.75" customHeight="1" x14ac:dyDescent="0.2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5.75" customHeight="1" x14ac:dyDescent="0.2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5.75" customHeight="1" x14ac:dyDescent="0.2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5.75" customHeight="1" x14ac:dyDescent="0.2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5.75" customHeight="1" x14ac:dyDescent="0.2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5.75" customHeight="1" x14ac:dyDescent="0.2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5.75" customHeight="1" x14ac:dyDescent="0.2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5.75" customHeight="1" x14ac:dyDescent="0.2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5.75" customHeight="1" x14ac:dyDescent="0.2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5.75" customHeight="1" x14ac:dyDescent="0.2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5.75" customHeight="1" x14ac:dyDescent="0.2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5.75" customHeight="1" x14ac:dyDescent="0.2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5.75" customHeight="1" x14ac:dyDescent="0.2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5.75" customHeight="1" x14ac:dyDescent="0.2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5.75" customHeight="1" x14ac:dyDescent="0.2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5.75" customHeight="1" x14ac:dyDescent="0.2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5.75" customHeight="1" x14ac:dyDescent="0.2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5.75" customHeight="1" x14ac:dyDescent="0.2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5.75" customHeight="1" x14ac:dyDescent="0.2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5.75" customHeight="1" x14ac:dyDescent="0.2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5.75" customHeight="1" x14ac:dyDescent="0.2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5.75" customHeight="1" x14ac:dyDescent="0.2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5.75" customHeight="1" x14ac:dyDescent="0.2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5.75" customHeight="1" x14ac:dyDescent="0.2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5.75" customHeight="1" x14ac:dyDescent="0.2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5.75" customHeight="1" x14ac:dyDescent="0.2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5.75" customHeight="1" x14ac:dyDescent="0.2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5.75" customHeight="1" x14ac:dyDescent="0.2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5.75" customHeight="1" x14ac:dyDescent="0.2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5.75" customHeight="1" x14ac:dyDescent="0.2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5.75" customHeight="1" x14ac:dyDescent="0.2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5.75" customHeight="1" x14ac:dyDescent="0.2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5.75" customHeight="1" x14ac:dyDescent="0.2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5.75" customHeight="1" x14ac:dyDescent="0.2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5.75" customHeight="1" x14ac:dyDescent="0.2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5.75" customHeight="1" x14ac:dyDescent="0.2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5.75" customHeight="1" x14ac:dyDescent="0.2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5.75" customHeight="1" x14ac:dyDescent="0.2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5.75" customHeight="1" x14ac:dyDescent="0.2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5.75" customHeight="1" x14ac:dyDescent="0.2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5.75" customHeight="1" x14ac:dyDescent="0.2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5.75" customHeight="1" x14ac:dyDescent="0.2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5.75" customHeight="1" x14ac:dyDescent="0.2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5.75" customHeight="1" x14ac:dyDescent="0.2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5.75" customHeight="1" x14ac:dyDescent="0.2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5.75" customHeight="1" x14ac:dyDescent="0.2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5.75" customHeight="1" x14ac:dyDescent="0.2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5.75" customHeight="1" x14ac:dyDescent="0.2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5.75" customHeight="1" x14ac:dyDescent="0.2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5.75" customHeight="1" x14ac:dyDescent="0.2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5.75" customHeight="1" x14ac:dyDescent="0.2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5.75" customHeight="1" x14ac:dyDescent="0.2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5.75" customHeight="1" x14ac:dyDescent="0.2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5.75" customHeight="1" x14ac:dyDescent="0.2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5.75" customHeight="1" x14ac:dyDescent="0.2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5.75" customHeight="1" x14ac:dyDescent="0.2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5.75" customHeight="1" x14ac:dyDescent="0.2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5.75" customHeight="1" x14ac:dyDescent="0.2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5.75" customHeight="1" x14ac:dyDescent="0.2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 x14ac:dyDescent="0.2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 x14ac:dyDescent="0.2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 x14ac:dyDescent="0.2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 x14ac:dyDescent="0.2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 x14ac:dyDescent="0.2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 x14ac:dyDescent="0.2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 x14ac:dyDescent="0.2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 x14ac:dyDescent="0.2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 x14ac:dyDescent="0.2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 x14ac:dyDescent="0.2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 x14ac:dyDescent="0.2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 x14ac:dyDescent="0.2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 x14ac:dyDescent="0.2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 x14ac:dyDescent="0.2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 x14ac:dyDescent="0.2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 x14ac:dyDescent="0.2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 x14ac:dyDescent="0.2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 x14ac:dyDescent="0.2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 x14ac:dyDescent="0.2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 x14ac:dyDescent="0.2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 x14ac:dyDescent="0.2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 x14ac:dyDescent="0.2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 x14ac:dyDescent="0.2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 x14ac:dyDescent="0.2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 x14ac:dyDescent="0.2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 x14ac:dyDescent="0.2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 x14ac:dyDescent="0.2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 x14ac:dyDescent="0.2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 x14ac:dyDescent="0.2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 x14ac:dyDescent="0.2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 x14ac:dyDescent="0.2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 x14ac:dyDescent="0.2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 x14ac:dyDescent="0.2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 x14ac:dyDescent="0.2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 x14ac:dyDescent="0.2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 x14ac:dyDescent="0.2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 x14ac:dyDescent="0.2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 x14ac:dyDescent="0.2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 x14ac:dyDescent="0.2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 x14ac:dyDescent="0.2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 x14ac:dyDescent="0.2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 x14ac:dyDescent="0.2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 x14ac:dyDescent="0.2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 x14ac:dyDescent="0.2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 x14ac:dyDescent="0.2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 x14ac:dyDescent="0.2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 x14ac:dyDescent="0.2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 x14ac:dyDescent="0.2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 x14ac:dyDescent="0.2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 x14ac:dyDescent="0.2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 x14ac:dyDescent="0.2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 x14ac:dyDescent="0.2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 x14ac:dyDescent="0.2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 x14ac:dyDescent="0.2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 x14ac:dyDescent="0.2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 x14ac:dyDescent="0.2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 x14ac:dyDescent="0.2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 x14ac:dyDescent="0.2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 x14ac:dyDescent="0.2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 x14ac:dyDescent="0.2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 x14ac:dyDescent="0.2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 x14ac:dyDescent="0.2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 x14ac:dyDescent="0.2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 x14ac:dyDescent="0.2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 x14ac:dyDescent="0.2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 x14ac:dyDescent="0.2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 x14ac:dyDescent="0.2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 x14ac:dyDescent="0.2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 x14ac:dyDescent="0.2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 x14ac:dyDescent="0.2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 x14ac:dyDescent="0.2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 x14ac:dyDescent="0.2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 x14ac:dyDescent="0.2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 x14ac:dyDescent="0.2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 x14ac:dyDescent="0.2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 x14ac:dyDescent="0.2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 x14ac:dyDescent="0.2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 x14ac:dyDescent="0.2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 x14ac:dyDescent="0.2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 x14ac:dyDescent="0.2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 x14ac:dyDescent="0.2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 x14ac:dyDescent="0.2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 x14ac:dyDescent="0.2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 x14ac:dyDescent="0.2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 x14ac:dyDescent="0.2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 x14ac:dyDescent="0.2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 x14ac:dyDescent="0.2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 x14ac:dyDescent="0.2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 x14ac:dyDescent="0.2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 x14ac:dyDescent="0.2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 x14ac:dyDescent="0.2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 x14ac:dyDescent="0.2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 x14ac:dyDescent="0.2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 x14ac:dyDescent="0.2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 x14ac:dyDescent="0.2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 x14ac:dyDescent="0.2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 x14ac:dyDescent="0.2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 x14ac:dyDescent="0.2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 x14ac:dyDescent="0.2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 x14ac:dyDescent="0.2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 x14ac:dyDescent="0.2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 x14ac:dyDescent="0.2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 x14ac:dyDescent="0.2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 x14ac:dyDescent="0.2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 x14ac:dyDescent="0.2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 x14ac:dyDescent="0.2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 x14ac:dyDescent="0.2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 x14ac:dyDescent="0.2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 x14ac:dyDescent="0.2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 x14ac:dyDescent="0.2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 x14ac:dyDescent="0.2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 x14ac:dyDescent="0.2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 x14ac:dyDescent="0.2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 x14ac:dyDescent="0.2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 x14ac:dyDescent="0.2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 x14ac:dyDescent="0.2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 x14ac:dyDescent="0.2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 x14ac:dyDescent="0.2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 x14ac:dyDescent="0.2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 x14ac:dyDescent="0.2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 x14ac:dyDescent="0.2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 x14ac:dyDescent="0.2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 x14ac:dyDescent="0.2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 x14ac:dyDescent="0.2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 x14ac:dyDescent="0.2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 x14ac:dyDescent="0.2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 x14ac:dyDescent="0.2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 x14ac:dyDescent="0.2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 x14ac:dyDescent="0.2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 x14ac:dyDescent="0.2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 x14ac:dyDescent="0.2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 x14ac:dyDescent="0.2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 x14ac:dyDescent="0.2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 x14ac:dyDescent="0.2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 x14ac:dyDescent="0.2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 x14ac:dyDescent="0.2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 x14ac:dyDescent="0.2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 x14ac:dyDescent="0.2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 x14ac:dyDescent="0.2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 x14ac:dyDescent="0.2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 x14ac:dyDescent="0.2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 x14ac:dyDescent="0.2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 x14ac:dyDescent="0.2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 x14ac:dyDescent="0.2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 x14ac:dyDescent="0.2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 x14ac:dyDescent="0.2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 x14ac:dyDescent="0.2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 x14ac:dyDescent="0.2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 x14ac:dyDescent="0.2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 x14ac:dyDescent="0.2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 x14ac:dyDescent="0.2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 x14ac:dyDescent="0.2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 x14ac:dyDescent="0.2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 x14ac:dyDescent="0.2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 x14ac:dyDescent="0.2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 x14ac:dyDescent="0.2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 x14ac:dyDescent="0.2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 x14ac:dyDescent="0.2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 x14ac:dyDescent="0.2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 x14ac:dyDescent="0.2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 x14ac:dyDescent="0.2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 x14ac:dyDescent="0.2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 x14ac:dyDescent="0.2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 x14ac:dyDescent="0.2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 x14ac:dyDescent="0.2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 x14ac:dyDescent="0.2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 x14ac:dyDescent="0.2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 x14ac:dyDescent="0.2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 x14ac:dyDescent="0.2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 x14ac:dyDescent="0.2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 x14ac:dyDescent="0.2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 x14ac:dyDescent="0.2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 x14ac:dyDescent="0.2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 x14ac:dyDescent="0.2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 x14ac:dyDescent="0.2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 x14ac:dyDescent="0.2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 x14ac:dyDescent="0.2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 x14ac:dyDescent="0.2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 x14ac:dyDescent="0.2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 x14ac:dyDescent="0.2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 x14ac:dyDescent="0.2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 x14ac:dyDescent="0.2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 x14ac:dyDescent="0.2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 x14ac:dyDescent="0.2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 x14ac:dyDescent="0.2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 x14ac:dyDescent="0.2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 x14ac:dyDescent="0.2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 x14ac:dyDescent="0.2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 x14ac:dyDescent="0.2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 x14ac:dyDescent="0.2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 x14ac:dyDescent="0.2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 x14ac:dyDescent="0.2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 x14ac:dyDescent="0.2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 x14ac:dyDescent="0.2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 x14ac:dyDescent="0.2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 x14ac:dyDescent="0.2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 x14ac:dyDescent="0.2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 x14ac:dyDescent="0.2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 x14ac:dyDescent="0.2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 x14ac:dyDescent="0.2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 x14ac:dyDescent="0.2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 x14ac:dyDescent="0.2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 x14ac:dyDescent="0.2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 x14ac:dyDescent="0.2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 x14ac:dyDescent="0.2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 x14ac:dyDescent="0.2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 x14ac:dyDescent="0.2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 x14ac:dyDescent="0.2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 x14ac:dyDescent="0.2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 x14ac:dyDescent="0.2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 x14ac:dyDescent="0.2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 x14ac:dyDescent="0.2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 x14ac:dyDescent="0.2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 x14ac:dyDescent="0.2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 x14ac:dyDescent="0.2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 x14ac:dyDescent="0.2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 x14ac:dyDescent="0.2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 x14ac:dyDescent="0.2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 x14ac:dyDescent="0.2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 x14ac:dyDescent="0.2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 x14ac:dyDescent="0.2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 x14ac:dyDescent="0.2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 x14ac:dyDescent="0.2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 x14ac:dyDescent="0.2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 x14ac:dyDescent="0.2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 x14ac:dyDescent="0.2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 x14ac:dyDescent="0.2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 x14ac:dyDescent="0.2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 x14ac:dyDescent="0.2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 x14ac:dyDescent="0.2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 x14ac:dyDescent="0.2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 x14ac:dyDescent="0.2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 x14ac:dyDescent="0.2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 x14ac:dyDescent="0.2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 x14ac:dyDescent="0.2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 x14ac:dyDescent="0.2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 x14ac:dyDescent="0.2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 x14ac:dyDescent="0.2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 x14ac:dyDescent="0.2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 x14ac:dyDescent="0.2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 x14ac:dyDescent="0.2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 x14ac:dyDescent="0.2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 x14ac:dyDescent="0.2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 x14ac:dyDescent="0.2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 x14ac:dyDescent="0.2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 x14ac:dyDescent="0.2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 x14ac:dyDescent="0.2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 x14ac:dyDescent="0.2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 x14ac:dyDescent="0.2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 x14ac:dyDescent="0.2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 x14ac:dyDescent="0.2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 x14ac:dyDescent="0.2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 x14ac:dyDescent="0.2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 x14ac:dyDescent="0.2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 x14ac:dyDescent="0.2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 x14ac:dyDescent="0.2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 x14ac:dyDescent="0.2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 x14ac:dyDescent="0.2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 x14ac:dyDescent="0.2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 x14ac:dyDescent="0.2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 x14ac:dyDescent="0.2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 x14ac:dyDescent="0.2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 x14ac:dyDescent="0.2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 x14ac:dyDescent="0.2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 x14ac:dyDescent="0.2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 x14ac:dyDescent="0.2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 x14ac:dyDescent="0.2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 x14ac:dyDescent="0.2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 x14ac:dyDescent="0.2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 x14ac:dyDescent="0.2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 x14ac:dyDescent="0.2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 x14ac:dyDescent="0.2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 x14ac:dyDescent="0.2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 x14ac:dyDescent="0.2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 x14ac:dyDescent="0.2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 x14ac:dyDescent="0.2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 x14ac:dyDescent="0.2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 x14ac:dyDescent="0.2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 x14ac:dyDescent="0.2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 x14ac:dyDescent="0.2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 x14ac:dyDescent="0.2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 x14ac:dyDescent="0.2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 x14ac:dyDescent="0.2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 x14ac:dyDescent="0.2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 x14ac:dyDescent="0.2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 x14ac:dyDescent="0.2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 x14ac:dyDescent="0.2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 x14ac:dyDescent="0.2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 x14ac:dyDescent="0.2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 x14ac:dyDescent="0.2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 x14ac:dyDescent="0.2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 x14ac:dyDescent="0.2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 x14ac:dyDescent="0.2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 x14ac:dyDescent="0.2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 x14ac:dyDescent="0.2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 x14ac:dyDescent="0.2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 x14ac:dyDescent="0.2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 x14ac:dyDescent="0.2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 x14ac:dyDescent="0.2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 x14ac:dyDescent="0.2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 x14ac:dyDescent="0.2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 x14ac:dyDescent="0.2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 x14ac:dyDescent="0.2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 x14ac:dyDescent="0.2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 x14ac:dyDescent="0.2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 x14ac:dyDescent="0.2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 x14ac:dyDescent="0.2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 x14ac:dyDescent="0.2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 x14ac:dyDescent="0.2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 x14ac:dyDescent="0.2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 x14ac:dyDescent="0.2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 x14ac:dyDescent="0.2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 x14ac:dyDescent="0.2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 x14ac:dyDescent="0.2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 x14ac:dyDescent="0.2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 x14ac:dyDescent="0.2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 x14ac:dyDescent="0.2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 x14ac:dyDescent="0.2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 x14ac:dyDescent="0.2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 x14ac:dyDescent="0.2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 x14ac:dyDescent="0.2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 x14ac:dyDescent="0.2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 x14ac:dyDescent="0.2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 x14ac:dyDescent="0.2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 x14ac:dyDescent="0.2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 x14ac:dyDescent="0.2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 x14ac:dyDescent="0.2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 x14ac:dyDescent="0.2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 x14ac:dyDescent="0.2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 x14ac:dyDescent="0.2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 x14ac:dyDescent="0.2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 x14ac:dyDescent="0.2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 x14ac:dyDescent="0.2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 x14ac:dyDescent="0.2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 x14ac:dyDescent="0.2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 x14ac:dyDescent="0.2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 x14ac:dyDescent="0.2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 x14ac:dyDescent="0.2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 x14ac:dyDescent="0.2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 x14ac:dyDescent="0.2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 x14ac:dyDescent="0.2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 x14ac:dyDescent="0.2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 x14ac:dyDescent="0.2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 x14ac:dyDescent="0.2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 x14ac:dyDescent="0.2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 x14ac:dyDescent="0.2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 x14ac:dyDescent="0.2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 x14ac:dyDescent="0.2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 x14ac:dyDescent="0.2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 x14ac:dyDescent="0.2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 x14ac:dyDescent="0.2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 x14ac:dyDescent="0.2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 x14ac:dyDescent="0.2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 x14ac:dyDescent="0.2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 x14ac:dyDescent="0.2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 x14ac:dyDescent="0.2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 x14ac:dyDescent="0.2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 x14ac:dyDescent="0.2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 x14ac:dyDescent="0.2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 x14ac:dyDescent="0.2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 x14ac:dyDescent="0.2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 x14ac:dyDescent="0.2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 x14ac:dyDescent="0.2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 x14ac:dyDescent="0.2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 x14ac:dyDescent="0.2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 x14ac:dyDescent="0.2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 x14ac:dyDescent="0.2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 x14ac:dyDescent="0.2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 x14ac:dyDescent="0.2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 x14ac:dyDescent="0.2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 x14ac:dyDescent="0.2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 x14ac:dyDescent="0.2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 x14ac:dyDescent="0.2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 x14ac:dyDescent="0.2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 x14ac:dyDescent="0.2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 x14ac:dyDescent="0.2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 x14ac:dyDescent="0.2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 x14ac:dyDescent="0.2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 x14ac:dyDescent="0.2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 x14ac:dyDescent="0.2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 x14ac:dyDescent="0.2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 x14ac:dyDescent="0.2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 x14ac:dyDescent="0.2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 x14ac:dyDescent="0.2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 x14ac:dyDescent="0.2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 x14ac:dyDescent="0.2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 x14ac:dyDescent="0.2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 x14ac:dyDescent="0.2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 x14ac:dyDescent="0.2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 x14ac:dyDescent="0.2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 x14ac:dyDescent="0.2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 x14ac:dyDescent="0.2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 x14ac:dyDescent="0.2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 x14ac:dyDescent="0.2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 x14ac:dyDescent="0.2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 x14ac:dyDescent="0.2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 x14ac:dyDescent="0.2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 x14ac:dyDescent="0.2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 x14ac:dyDescent="0.2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 x14ac:dyDescent="0.2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 x14ac:dyDescent="0.2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 x14ac:dyDescent="0.2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 x14ac:dyDescent="0.2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 x14ac:dyDescent="0.2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 x14ac:dyDescent="0.2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 x14ac:dyDescent="0.2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 x14ac:dyDescent="0.2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 x14ac:dyDescent="0.2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 x14ac:dyDescent="0.2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 x14ac:dyDescent="0.2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 x14ac:dyDescent="0.2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 x14ac:dyDescent="0.2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 x14ac:dyDescent="0.2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 x14ac:dyDescent="0.2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 x14ac:dyDescent="0.2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 x14ac:dyDescent="0.2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 x14ac:dyDescent="0.2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 x14ac:dyDescent="0.2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 x14ac:dyDescent="0.2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 x14ac:dyDescent="0.2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 x14ac:dyDescent="0.2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 x14ac:dyDescent="0.2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 x14ac:dyDescent="0.2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 x14ac:dyDescent="0.2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 x14ac:dyDescent="0.2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 x14ac:dyDescent="0.2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 x14ac:dyDescent="0.2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 x14ac:dyDescent="0.2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 x14ac:dyDescent="0.2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 x14ac:dyDescent="0.2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 x14ac:dyDescent="0.2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 x14ac:dyDescent="0.2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 x14ac:dyDescent="0.2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 x14ac:dyDescent="0.2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 x14ac:dyDescent="0.2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 x14ac:dyDescent="0.2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 x14ac:dyDescent="0.2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 x14ac:dyDescent="0.2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 x14ac:dyDescent="0.2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 x14ac:dyDescent="0.2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 x14ac:dyDescent="0.2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 x14ac:dyDescent="0.2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 x14ac:dyDescent="0.2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 x14ac:dyDescent="0.2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 x14ac:dyDescent="0.2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 x14ac:dyDescent="0.2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 x14ac:dyDescent="0.2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 x14ac:dyDescent="0.2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 x14ac:dyDescent="0.2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 x14ac:dyDescent="0.2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 x14ac:dyDescent="0.2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 x14ac:dyDescent="0.2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 x14ac:dyDescent="0.2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 x14ac:dyDescent="0.2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 x14ac:dyDescent="0.2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 x14ac:dyDescent="0.2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 x14ac:dyDescent="0.2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 x14ac:dyDescent="0.2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 x14ac:dyDescent="0.2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 x14ac:dyDescent="0.2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 x14ac:dyDescent="0.2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 x14ac:dyDescent="0.2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 x14ac:dyDescent="0.2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 x14ac:dyDescent="0.2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 x14ac:dyDescent="0.2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 x14ac:dyDescent="0.2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 x14ac:dyDescent="0.2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 x14ac:dyDescent="0.2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 x14ac:dyDescent="0.2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 x14ac:dyDescent="0.2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 x14ac:dyDescent="0.2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 x14ac:dyDescent="0.2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 x14ac:dyDescent="0.2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 x14ac:dyDescent="0.2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 x14ac:dyDescent="0.2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 x14ac:dyDescent="0.2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 x14ac:dyDescent="0.2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 x14ac:dyDescent="0.2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 x14ac:dyDescent="0.2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 x14ac:dyDescent="0.2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 x14ac:dyDescent="0.2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 x14ac:dyDescent="0.2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 x14ac:dyDescent="0.2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 x14ac:dyDescent="0.2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 x14ac:dyDescent="0.2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 x14ac:dyDescent="0.2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 x14ac:dyDescent="0.2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 x14ac:dyDescent="0.2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 x14ac:dyDescent="0.2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 x14ac:dyDescent="0.2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 x14ac:dyDescent="0.2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 x14ac:dyDescent="0.2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 x14ac:dyDescent="0.2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 x14ac:dyDescent="0.2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 x14ac:dyDescent="0.2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 x14ac:dyDescent="0.2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 x14ac:dyDescent="0.2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 x14ac:dyDescent="0.2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 x14ac:dyDescent="0.2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 x14ac:dyDescent="0.2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 x14ac:dyDescent="0.2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 x14ac:dyDescent="0.2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 x14ac:dyDescent="0.2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 x14ac:dyDescent="0.2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 x14ac:dyDescent="0.2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 x14ac:dyDescent="0.2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 x14ac:dyDescent="0.2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 x14ac:dyDescent="0.2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 x14ac:dyDescent="0.2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 x14ac:dyDescent="0.2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 x14ac:dyDescent="0.2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 x14ac:dyDescent="0.2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 x14ac:dyDescent="0.2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 x14ac:dyDescent="0.2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 x14ac:dyDescent="0.2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 x14ac:dyDescent="0.2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 x14ac:dyDescent="0.2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 x14ac:dyDescent="0.2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 x14ac:dyDescent="0.2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 x14ac:dyDescent="0.2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 x14ac:dyDescent="0.2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 x14ac:dyDescent="0.2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 x14ac:dyDescent="0.2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 x14ac:dyDescent="0.2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 x14ac:dyDescent="0.2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 x14ac:dyDescent="0.2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 x14ac:dyDescent="0.2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 x14ac:dyDescent="0.2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 x14ac:dyDescent="0.2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 x14ac:dyDescent="0.2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 x14ac:dyDescent="0.2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 x14ac:dyDescent="0.2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 x14ac:dyDescent="0.2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 x14ac:dyDescent="0.2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 x14ac:dyDescent="0.2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 x14ac:dyDescent="0.2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 x14ac:dyDescent="0.2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 x14ac:dyDescent="0.2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 x14ac:dyDescent="0.2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 x14ac:dyDescent="0.2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 x14ac:dyDescent="0.2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 x14ac:dyDescent="0.2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 x14ac:dyDescent="0.2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 x14ac:dyDescent="0.2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 x14ac:dyDescent="0.2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 x14ac:dyDescent="0.2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 x14ac:dyDescent="0.2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 x14ac:dyDescent="0.2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 x14ac:dyDescent="0.2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 x14ac:dyDescent="0.2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 x14ac:dyDescent="0.2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 x14ac:dyDescent="0.2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 x14ac:dyDescent="0.2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 x14ac:dyDescent="0.2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 x14ac:dyDescent="0.2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 x14ac:dyDescent="0.2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 x14ac:dyDescent="0.2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 x14ac:dyDescent="0.2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 x14ac:dyDescent="0.2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 x14ac:dyDescent="0.2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 x14ac:dyDescent="0.2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 x14ac:dyDescent="0.2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 x14ac:dyDescent="0.2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 x14ac:dyDescent="0.2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 x14ac:dyDescent="0.2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 x14ac:dyDescent="0.2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 x14ac:dyDescent="0.2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 x14ac:dyDescent="0.2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 x14ac:dyDescent="0.2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 x14ac:dyDescent="0.2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 x14ac:dyDescent="0.2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 x14ac:dyDescent="0.2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 x14ac:dyDescent="0.2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 x14ac:dyDescent="0.2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 x14ac:dyDescent="0.2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 x14ac:dyDescent="0.2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 x14ac:dyDescent="0.2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 x14ac:dyDescent="0.2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 x14ac:dyDescent="0.2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 x14ac:dyDescent="0.2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 x14ac:dyDescent="0.2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 x14ac:dyDescent="0.2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 x14ac:dyDescent="0.2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 x14ac:dyDescent="0.2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 x14ac:dyDescent="0.2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 x14ac:dyDescent="0.2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 x14ac:dyDescent="0.2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 x14ac:dyDescent="0.2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 x14ac:dyDescent="0.2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 x14ac:dyDescent="0.2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 x14ac:dyDescent="0.2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 x14ac:dyDescent="0.2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 x14ac:dyDescent="0.2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 x14ac:dyDescent="0.2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 x14ac:dyDescent="0.2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 x14ac:dyDescent="0.2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 x14ac:dyDescent="0.2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 x14ac:dyDescent="0.2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 x14ac:dyDescent="0.2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 x14ac:dyDescent="0.2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 x14ac:dyDescent="0.2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 x14ac:dyDescent="0.2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 x14ac:dyDescent="0.2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 x14ac:dyDescent="0.2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 x14ac:dyDescent="0.2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 x14ac:dyDescent="0.2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 x14ac:dyDescent="0.2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 x14ac:dyDescent="0.2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 x14ac:dyDescent="0.2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 x14ac:dyDescent="0.2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 x14ac:dyDescent="0.2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 x14ac:dyDescent="0.2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 x14ac:dyDescent="0.2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 x14ac:dyDescent="0.2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 x14ac:dyDescent="0.2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 x14ac:dyDescent="0.2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 x14ac:dyDescent="0.2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 x14ac:dyDescent="0.2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 x14ac:dyDescent="0.2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 x14ac:dyDescent="0.2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 x14ac:dyDescent="0.2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 x14ac:dyDescent="0.2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 x14ac:dyDescent="0.2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 x14ac:dyDescent="0.2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 x14ac:dyDescent="0.2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 x14ac:dyDescent="0.2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 x14ac:dyDescent="0.2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 x14ac:dyDescent="0.2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 x14ac:dyDescent="0.2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 x14ac:dyDescent="0.2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 x14ac:dyDescent="0.2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 x14ac:dyDescent="0.2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 x14ac:dyDescent="0.2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 x14ac:dyDescent="0.2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 x14ac:dyDescent="0.2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 x14ac:dyDescent="0.2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 x14ac:dyDescent="0.2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 x14ac:dyDescent="0.2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 x14ac:dyDescent="0.2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 x14ac:dyDescent="0.2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 x14ac:dyDescent="0.2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 x14ac:dyDescent="0.2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 x14ac:dyDescent="0.2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 x14ac:dyDescent="0.2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 x14ac:dyDescent="0.2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 x14ac:dyDescent="0.2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 x14ac:dyDescent="0.2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 x14ac:dyDescent="0.2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 x14ac:dyDescent="0.2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 x14ac:dyDescent="0.2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 x14ac:dyDescent="0.2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 x14ac:dyDescent="0.2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 x14ac:dyDescent="0.2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 x14ac:dyDescent="0.2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 x14ac:dyDescent="0.2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 x14ac:dyDescent="0.2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 x14ac:dyDescent="0.2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 x14ac:dyDescent="0.2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 x14ac:dyDescent="0.2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 x14ac:dyDescent="0.2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 x14ac:dyDescent="0.2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 x14ac:dyDescent="0.2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 x14ac:dyDescent="0.2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 x14ac:dyDescent="0.2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 x14ac:dyDescent="0.2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 x14ac:dyDescent="0.2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 x14ac:dyDescent="0.2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 x14ac:dyDescent="0.2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 x14ac:dyDescent="0.2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 x14ac:dyDescent="0.2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 x14ac:dyDescent="0.2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 x14ac:dyDescent="0.2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 x14ac:dyDescent="0.2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 x14ac:dyDescent="0.2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 x14ac:dyDescent="0.2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 x14ac:dyDescent="0.2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 x14ac:dyDescent="0.2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 x14ac:dyDescent="0.2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 x14ac:dyDescent="0.2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 x14ac:dyDescent="0.2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 x14ac:dyDescent="0.2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 x14ac:dyDescent="0.2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 x14ac:dyDescent="0.2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 x14ac:dyDescent="0.2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 x14ac:dyDescent="0.2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 x14ac:dyDescent="0.2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 x14ac:dyDescent="0.2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 x14ac:dyDescent="0.2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 x14ac:dyDescent="0.2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 x14ac:dyDescent="0.2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 x14ac:dyDescent="0.2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 x14ac:dyDescent="0.2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  <row r="917" spans="1:26" ht="15.75" customHeight="1" x14ac:dyDescent="0.2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</row>
    <row r="918" spans="1:26" ht="15.75" customHeight="1" x14ac:dyDescent="0.2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</row>
    <row r="919" spans="1:26" ht="15.75" customHeight="1" x14ac:dyDescent="0.2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</row>
    <row r="920" spans="1:26" ht="15.75" customHeight="1" x14ac:dyDescent="0.2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</row>
    <row r="921" spans="1:26" ht="15.75" customHeight="1" x14ac:dyDescent="0.2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</row>
    <row r="922" spans="1:26" ht="15.75" customHeight="1" x14ac:dyDescent="0.2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</row>
    <row r="923" spans="1:26" ht="15.75" customHeight="1" x14ac:dyDescent="0.2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</row>
    <row r="924" spans="1:26" ht="15.75" customHeight="1" x14ac:dyDescent="0.2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</row>
    <row r="925" spans="1:26" ht="15.75" customHeight="1" x14ac:dyDescent="0.2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</row>
    <row r="926" spans="1:26" ht="15.75" customHeight="1" x14ac:dyDescent="0.2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</row>
    <row r="927" spans="1:26" ht="15.75" customHeight="1" x14ac:dyDescent="0.2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</row>
    <row r="928" spans="1:26" ht="15.75" customHeight="1" x14ac:dyDescent="0.2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</row>
    <row r="929" spans="1:26" ht="15.75" customHeight="1" x14ac:dyDescent="0.2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</row>
    <row r="930" spans="1:26" ht="15.75" customHeight="1" x14ac:dyDescent="0.2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</row>
    <row r="931" spans="1:26" ht="15.75" customHeight="1" x14ac:dyDescent="0.2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</row>
    <row r="932" spans="1:26" ht="15.75" customHeight="1" x14ac:dyDescent="0.2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</row>
    <row r="933" spans="1:26" ht="15.75" customHeight="1" x14ac:dyDescent="0.2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</row>
    <row r="934" spans="1:26" ht="15.75" customHeight="1" x14ac:dyDescent="0.2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</row>
    <row r="935" spans="1:26" ht="15.75" customHeight="1" x14ac:dyDescent="0.2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</row>
    <row r="936" spans="1:26" ht="15.75" customHeight="1" x14ac:dyDescent="0.2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</row>
    <row r="937" spans="1:26" ht="15.75" customHeight="1" x14ac:dyDescent="0.2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</row>
    <row r="938" spans="1:26" ht="15.75" customHeight="1" x14ac:dyDescent="0.2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</row>
    <row r="939" spans="1:26" ht="15.75" customHeight="1" x14ac:dyDescent="0.2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</row>
    <row r="940" spans="1:26" ht="15.75" customHeight="1" x14ac:dyDescent="0.2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</row>
    <row r="941" spans="1:26" ht="15.75" customHeight="1" x14ac:dyDescent="0.2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</row>
    <row r="942" spans="1:26" ht="15.75" customHeight="1" x14ac:dyDescent="0.2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</row>
    <row r="943" spans="1:26" ht="15.75" customHeight="1" x14ac:dyDescent="0.2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</row>
    <row r="944" spans="1:26" ht="15.75" customHeight="1" x14ac:dyDescent="0.2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</row>
    <row r="945" spans="1:26" ht="15.75" customHeight="1" x14ac:dyDescent="0.2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</row>
    <row r="946" spans="1:26" ht="15.75" customHeight="1" x14ac:dyDescent="0.2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</row>
    <row r="947" spans="1:26" ht="15.75" customHeight="1" x14ac:dyDescent="0.2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</row>
    <row r="948" spans="1:26" ht="15.75" customHeight="1" x14ac:dyDescent="0.2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</row>
    <row r="949" spans="1:26" ht="15.75" customHeight="1" x14ac:dyDescent="0.2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</row>
    <row r="950" spans="1:26" ht="15.75" customHeight="1" x14ac:dyDescent="0.2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</row>
    <row r="951" spans="1:26" ht="15.75" customHeight="1" x14ac:dyDescent="0.2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</row>
    <row r="952" spans="1:26" ht="15.75" customHeight="1" x14ac:dyDescent="0.2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</row>
    <row r="953" spans="1:26" ht="15.75" customHeight="1" x14ac:dyDescent="0.2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</row>
    <row r="954" spans="1:26" ht="15.75" customHeight="1" x14ac:dyDescent="0.2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</row>
    <row r="955" spans="1:26" ht="15.75" customHeight="1" x14ac:dyDescent="0.2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</row>
    <row r="956" spans="1:26" ht="15.75" customHeight="1" x14ac:dyDescent="0.2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</row>
    <row r="957" spans="1:26" ht="15.75" customHeight="1" x14ac:dyDescent="0.2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</row>
    <row r="958" spans="1:26" ht="15.75" customHeight="1" x14ac:dyDescent="0.2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</row>
    <row r="959" spans="1:26" ht="15.75" customHeight="1" x14ac:dyDescent="0.2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</row>
    <row r="960" spans="1:26" ht="15.75" customHeight="1" x14ac:dyDescent="0.2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</row>
    <row r="961" spans="1:26" ht="15.75" customHeight="1" x14ac:dyDescent="0.2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</row>
    <row r="962" spans="1:26" ht="15.75" customHeight="1" x14ac:dyDescent="0.2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</row>
    <row r="963" spans="1:26" ht="15.75" customHeight="1" x14ac:dyDescent="0.2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</row>
    <row r="964" spans="1:26" ht="15.75" customHeight="1" x14ac:dyDescent="0.2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</row>
    <row r="965" spans="1:26" ht="15.75" customHeight="1" x14ac:dyDescent="0.2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</row>
    <row r="966" spans="1:26" ht="15.75" customHeight="1" x14ac:dyDescent="0.2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</row>
    <row r="967" spans="1:26" ht="15.75" customHeight="1" x14ac:dyDescent="0.2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</row>
    <row r="968" spans="1:26" ht="15.75" customHeight="1" x14ac:dyDescent="0.2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</row>
    <row r="969" spans="1:26" ht="15.75" customHeight="1" x14ac:dyDescent="0.2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</row>
    <row r="970" spans="1:26" ht="15.75" customHeight="1" x14ac:dyDescent="0.2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</row>
    <row r="971" spans="1:26" ht="15.75" customHeight="1" x14ac:dyDescent="0.2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</row>
    <row r="972" spans="1:26" ht="15.75" customHeight="1" x14ac:dyDescent="0.2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</row>
    <row r="973" spans="1:26" ht="15.75" customHeight="1" x14ac:dyDescent="0.2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</row>
    <row r="974" spans="1:26" ht="15.75" customHeight="1" x14ac:dyDescent="0.2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</row>
    <row r="975" spans="1:26" ht="15.75" customHeight="1" x14ac:dyDescent="0.2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</row>
    <row r="976" spans="1:26" ht="15.75" customHeight="1" x14ac:dyDescent="0.2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</row>
    <row r="977" spans="1:26" ht="15.75" customHeight="1" x14ac:dyDescent="0.2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</row>
    <row r="978" spans="1:26" ht="15.75" customHeight="1" x14ac:dyDescent="0.2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</row>
    <row r="979" spans="1:26" ht="15.75" customHeight="1" x14ac:dyDescent="0.2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</row>
    <row r="980" spans="1:26" ht="15.75" customHeight="1" x14ac:dyDescent="0.2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</row>
    <row r="981" spans="1:26" ht="15.75" customHeight="1" x14ac:dyDescent="0.2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</row>
    <row r="982" spans="1:26" ht="15.75" customHeight="1" x14ac:dyDescent="0.2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</row>
    <row r="983" spans="1:26" ht="15.75" customHeight="1" x14ac:dyDescent="0.2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</row>
    <row r="984" spans="1:26" ht="15.75" customHeight="1" x14ac:dyDescent="0.2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</row>
    <row r="985" spans="1:26" ht="15.75" customHeight="1" x14ac:dyDescent="0.2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</row>
    <row r="986" spans="1:26" ht="15.75" customHeight="1" x14ac:dyDescent="0.2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</row>
    <row r="987" spans="1:26" ht="15.75" customHeight="1" x14ac:dyDescent="0.2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</row>
    <row r="988" spans="1:26" ht="15.75" customHeight="1" x14ac:dyDescent="0.2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</row>
    <row r="989" spans="1:26" ht="15.75" customHeight="1" x14ac:dyDescent="0.2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</row>
    <row r="990" spans="1:26" ht="15.75" customHeight="1" x14ac:dyDescent="0.2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</row>
    <row r="991" spans="1:26" ht="15.75" customHeight="1" x14ac:dyDescent="0.2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</row>
    <row r="992" spans="1:26" ht="15.75" customHeight="1" x14ac:dyDescent="0.2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</row>
    <row r="993" spans="1:26" ht="15.75" customHeight="1" x14ac:dyDescent="0.2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</row>
    <row r="994" spans="1:26" ht="15.75" customHeight="1" x14ac:dyDescent="0.2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</row>
    <row r="995" spans="1:26" ht="15.75" customHeight="1" x14ac:dyDescent="0.2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</row>
    <row r="996" spans="1:26" ht="15.75" customHeight="1" x14ac:dyDescent="0.2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</row>
    <row r="997" spans="1:26" ht="15.75" customHeight="1" x14ac:dyDescent="0.2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</row>
    <row r="998" spans="1:26" ht="15.75" customHeight="1" x14ac:dyDescent="0.2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</row>
    <row r="999" spans="1:26" ht="15.75" customHeight="1" x14ac:dyDescent="0.2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</row>
    <row r="1000" spans="1:26" ht="15.75" customHeight="1" x14ac:dyDescent="0.2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</row>
  </sheetData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06E34-3D71-4A47-86B0-EB4B9150562C}">
  <dimension ref="A1:AR916"/>
  <sheetViews>
    <sheetView tabSelected="1" topLeftCell="A45" zoomScale="94" zoomScaleNormal="80" workbookViewId="0">
      <selection activeCell="C69" sqref="C69"/>
    </sheetView>
  </sheetViews>
  <sheetFormatPr baseColWidth="10" defaultColWidth="14.5" defaultRowHeight="15" customHeight="1" x14ac:dyDescent="0.2"/>
  <cols>
    <col min="1" max="1" width="25.83203125" customWidth="1"/>
    <col min="2" max="2" width="31.83203125" customWidth="1"/>
    <col min="3" max="5" width="20.6640625" customWidth="1"/>
    <col min="6" max="6" width="18.33203125" customWidth="1"/>
    <col min="7" max="7" width="24" customWidth="1"/>
    <col min="8" max="8" width="16.83203125" customWidth="1"/>
    <col min="9" max="9" width="12.1640625" customWidth="1"/>
    <col min="10" max="10" width="14.5" customWidth="1"/>
    <col min="11" max="11" width="15.83203125" customWidth="1"/>
    <col min="12" max="12" width="21.5" customWidth="1"/>
    <col min="13" max="13" width="21.6640625" customWidth="1"/>
    <col min="14" max="14" width="13.1640625" customWidth="1"/>
    <col min="15" max="15" width="14.6640625" customWidth="1"/>
    <col min="16" max="16" width="16.5" customWidth="1"/>
    <col min="17" max="17" width="13.5" customWidth="1"/>
    <col min="18" max="18" width="8.83203125" customWidth="1"/>
    <col min="19" max="19" width="14.1640625" customWidth="1"/>
    <col min="20" max="20" width="13" customWidth="1"/>
    <col min="21" max="21" width="8.83203125" customWidth="1"/>
    <col min="22" max="22" width="14.5" customWidth="1"/>
    <col min="23" max="23" width="13.1640625" customWidth="1"/>
    <col min="24" max="24" width="8.83203125" customWidth="1"/>
    <col min="25" max="25" width="15" customWidth="1"/>
    <col min="26" max="26" width="15.33203125" customWidth="1"/>
    <col min="43" max="43" width="9.6640625" customWidth="1"/>
  </cols>
  <sheetData>
    <row r="1" spans="1:44" x14ac:dyDescent="0.2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</row>
    <row r="2" spans="1:44" x14ac:dyDescent="0.2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</row>
    <row r="3" spans="1:44" ht="24" x14ac:dyDescent="0.3">
      <c r="A3" s="183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44" ht="15.75" customHeight="1" x14ac:dyDescent="0.2">
      <c r="A4" s="86"/>
      <c r="B4" s="95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</row>
    <row r="5" spans="1:44" ht="15.75" customHeight="1" x14ac:dyDescent="0.2">
      <c r="A5" s="86"/>
      <c r="B5" s="95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</row>
    <row r="6" spans="1:44" ht="15.75" customHeight="1" x14ac:dyDescent="0.2">
      <c r="A6" s="86"/>
      <c r="B6" s="95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44" ht="15.75" customHeight="1" x14ac:dyDescent="0.2">
      <c r="A7" s="86"/>
      <c r="B7" s="95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44" ht="15.75" customHeight="1" x14ac:dyDescent="0.2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</row>
    <row r="9" spans="1:44" ht="9" customHeight="1" x14ac:dyDescent="0.2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44" ht="24" customHeight="1" x14ac:dyDescent="0.3">
      <c r="A10" s="14" t="s">
        <v>491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44" ht="15.75" customHeight="1" x14ac:dyDescent="0.2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</row>
    <row r="12" spans="1:44" ht="15.75" customHeight="1" x14ac:dyDescent="0.2">
      <c r="A12" s="82" t="s">
        <v>511</v>
      </c>
      <c r="B12" s="66"/>
      <c r="C12" s="104" t="s">
        <v>497</v>
      </c>
      <c r="D12" s="104"/>
      <c r="E12" s="105"/>
      <c r="F12" s="104" t="s">
        <v>499</v>
      </c>
      <c r="G12" s="104"/>
      <c r="H12" s="105"/>
      <c r="I12" s="104" t="s">
        <v>500</v>
      </c>
      <c r="J12" s="104"/>
      <c r="K12" s="105"/>
      <c r="L12" s="104" t="s">
        <v>501</v>
      </c>
      <c r="M12" s="104"/>
      <c r="N12" s="105"/>
      <c r="O12" s="104" t="s">
        <v>502</v>
      </c>
      <c r="P12" s="104"/>
      <c r="Q12" s="105"/>
      <c r="R12" s="104" t="s">
        <v>503</v>
      </c>
      <c r="S12" s="104"/>
      <c r="T12" s="105"/>
      <c r="U12" s="104" t="s">
        <v>504</v>
      </c>
      <c r="V12" s="104"/>
      <c r="W12" s="105"/>
      <c r="X12" s="104" t="s">
        <v>505</v>
      </c>
      <c r="Y12" s="104"/>
      <c r="Z12" s="105"/>
      <c r="AA12" s="106" t="s">
        <v>506</v>
      </c>
      <c r="AB12" s="106"/>
      <c r="AC12" s="107"/>
      <c r="AD12" s="106" t="s">
        <v>507</v>
      </c>
      <c r="AE12" s="106"/>
      <c r="AF12" s="107"/>
      <c r="AG12" s="106" t="s">
        <v>508</v>
      </c>
      <c r="AH12" s="106"/>
      <c r="AI12" s="107"/>
      <c r="AJ12" s="106" t="s">
        <v>509</v>
      </c>
      <c r="AK12" s="106"/>
      <c r="AL12" s="108"/>
      <c r="AM12" s="97" t="s">
        <v>18</v>
      </c>
      <c r="AN12" s="92"/>
    </row>
    <row r="13" spans="1:44" ht="15.75" customHeight="1" x14ac:dyDescent="0.2">
      <c r="A13" s="13"/>
      <c r="B13" s="13"/>
      <c r="C13" s="83" t="s">
        <v>330</v>
      </c>
      <c r="D13" s="83" t="s">
        <v>498</v>
      </c>
      <c r="E13" s="109" t="s">
        <v>18</v>
      </c>
      <c r="F13" s="83" t="s">
        <v>330</v>
      </c>
      <c r="G13" s="83" t="s">
        <v>498</v>
      </c>
      <c r="H13" s="109" t="s">
        <v>18</v>
      </c>
      <c r="I13" s="83" t="s">
        <v>330</v>
      </c>
      <c r="J13" s="83" t="s">
        <v>498</v>
      </c>
      <c r="K13" s="109" t="s">
        <v>18</v>
      </c>
      <c r="L13" s="83" t="s">
        <v>330</v>
      </c>
      <c r="M13" s="83" t="s">
        <v>498</v>
      </c>
      <c r="N13" s="109" t="s">
        <v>18</v>
      </c>
      <c r="O13" s="83" t="s">
        <v>330</v>
      </c>
      <c r="P13" s="83" t="s">
        <v>498</v>
      </c>
      <c r="Q13" s="109" t="s">
        <v>18</v>
      </c>
      <c r="R13" s="83" t="s">
        <v>330</v>
      </c>
      <c r="S13" s="83" t="s">
        <v>498</v>
      </c>
      <c r="T13" s="109" t="s">
        <v>18</v>
      </c>
      <c r="U13" s="83" t="s">
        <v>330</v>
      </c>
      <c r="V13" s="83" t="s">
        <v>498</v>
      </c>
      <c r="W13" s="109" t="s">
        <v>18</v>
      </c>
      <c r="X13" s="83" t="s">
        <v>330</v>
      </c>
      <c r="Y13" s="83" t="s">
        <v>498</v>
      </c>
      <c r="Z13" s="109" t="s">
        <v>18</v>
      </c>
      <c r="AA13" s="83" t="s">
        <v>330</v>
      </c>
      <c r="AB13" s="83" t="s">
        <v>498</v>
      </c>
      <c r="AC13" s="109" t="s">
        <v>18</v>
      </c>
      <c r="AD13" s="83" t="s">
        <v>330</v>
      </c>
      <c r="AE13" s="83" t="s">
        <v>498</v>
      </c>
      <c r="AF13" s="109" t="s">
        <v>18</v>
      </c>
      <c r="AG13" s="83" t="s">
        <v>330</v>
      </c>
      <c r="AH13" s="83" t="s">
        <v>498</v>
      </c>
      <c r="AI13" s="109" t="s">
        <v>18</v>
      </c>
      <c r="AJ13" s="83" t="s">
        <v>330</v>
      </c>
      <c r="AK13" s="83" t="s">
        <v>498</v>
      </c>
      <c r="AL13" s="95" t="s">
        <v>18</v>
      </c>
      <c r="AM13" s="98" t="s">
        <v>510</v>
      </c>
      <c r="AN13" s="93" t="s">
        <v>330</v>
      </c>
      <c r="AP13" s="180" t="s">
        <v>555</v>
      </c>
      <c r="AQ13" s="180" t="s">
        <v>556</v>
      </c>
    </row>
    <row r="14" spans="1:44" ht="15.75" customHeight="1" x14ac:dyDescent="0.2">
      <c r="A14" s="13"/>
      <c r="B14" s="62" t="s">
        <v>492</v>
      </c>
      <c r="C14" s="150">
        <f>+AP14/12</f>
        <v>27</v>
      </c>
      <c r="D14" s="13">
        <v>330</v>
      </c>
      <c r="E14" s="67">
        <f>+D14*C14</f>
        <v>8910</v>
      </c>
      <c r="F14" s="150">
        <f>+AP14/12</f>
        <v>27</v>
      </c>
      <c r="G14" s="13">
        <v>330</v>
      </c>
      <c r="H14" s="67">
        <f>+G14*F14</f>
        <v>8910</v>
      </c>
      <c r="I14" s="150">
        <f>+AP14/12</f>
        <v>27</v>
      </c>
      <c r="J14" s="13">
        <v>330</v>
      </c>
      <c r="K14" s="67">
        <f>+J14*I14</f>
        <v>8910</v>
      </c>
      <c r="L14" s="150">
        <f>+AP14/12</f>
        <v>27</v>
      </c>
      <c r="M14" s="13">
        <v>330</v>
      </c>
      <c r="N14" s="67">
        <f>+M14*L14</f>
        <v>8910</v>
      </c>
      <c r="O14" s="150">
        <f>+AP14/12</f>
        <v>27</v>
      </c>
      <c r="P14" s="13">
        <v>330</v>
      </c>
      <c r="Q14" s="67">
        <f>+O14*P14</f>
        <v>8910</v>
      </c>
      <c r="R14" s="150">
        <f>+AP14/12</f>
        <v>27</v>
      </c>
      <c r="S14" s="13">
        <v>330</v>
      </c>
      <c r="T14" s="67">
        <f>+S14*R14</f>
        <v>8910</v>
      </c>
      <c r="U14" s="150">
        <f>+AP14/12</f>
        <v>27</v>
      </c>
      <c r="V14" s="13">
        <v>330</v>
      </c>
      <c r="W14" s="67">
        <f>+V14*U14</f>
        <v>8910</v>
      </c>
      <c r="X14" s="150">
        <f>+AP14/12</f>
        <v>27</v>
      </c>
      <c r="Y14" s="13">
        <v>330</v>
      </c>
      <c r="Z14" s="67">
        <f>+Y14*X14</f>
        <v>8910</v>
      </c>
      <c r="AA14" s="150">
        <f>+AP14/12</f>
        <v>27</v>
      </c>
      <c r="AB14" s="13">
        <v>330</v>
      </c>
      <c r="AC14" s="68">
        <f>+AB14*AA14</f>
        <v>8910</v>
      </c>
      <c r="AD14" s="150">
        <f>+AP14/12</f>
        <v>27</v>
      </c>
      <c r="AE14" s="13">
        <v>330</v>
      </c>
      <c r="AF14" s="68">
        <f>+AE14*AD14</f>
        <v>8910</v>
      </c>
      <c r="AG14" s="150">
        <f>+AP14/12</f>
        <v>27</v>
      </c>
      <c r="AH14" s="13">
        <v>330</v>
      </c>
      <c r="AI14" s="68">
        <f>+AH14*AG14</f>
        <v>8910</v>
      </c>
      <c r="AJ14" s="150">
        <f>+AP14/12</f>
        <v>27</v>
      </c>
      <c r="AK14" s="13">
        <v>330</v>
      </c>
      <c r="AL14" s="94">
        <f>+AK14*AJ14</f>
        <v>8910</v>
      </c>
      <c r="AM14" s="99">
        <f>+AL14+AI14+AF14+AC14+Z14+W14+T14+Q14+N14+K14+H14+E14</f>
        <v>106920</v>
      </c>
      <c r="AN14" s="64">
        <f>+AJ14+AG14+AD14+AA14+X14+U14+R14+O14+L14+I14+F14+C14</f>
        <v>324</v>
      </c>
      <c r="AP14" s="181">
        <v>324</v>
      </c>
      <c r="AQ14" s="182">
        <f>+AP14/12</f>
        <v>27</v>
      </c>
      <c r="AR14" s="149"/>
    </row>
    <row r="15" spans="1:44" ht="15.75" customHeight="1" x14ac:dyDescent="0.2">
      <c r="A15" s="13"/>
      <c r="B15" s="62" t="s">
        <v>492</v>
      </c>
      <c r="C15" s="150">
        <f t="shared" ref="C15:C24" si="0">+AP15/12</f>
        <v>37.333333333333336</v>
      </c>
      <c r="D15" s="13">
        <v>660</v>
      </c>
      <c r="E15" s="67">
        <f t="shared" ref="E15:E24" si="1">+D15*C15</f>
        <v>24640</v>
      </c>
      <c r="F15" s="150">
        <f t="shared" ref="F15:F24" si="2">+AP15/12</f>
        <v>37.333333333333336</v>
      </c>
      <c r="G15" s="13">
        <v>660</v>
      </c>
      <c r="H15" s="67">
        <f t="shared" ref="H15:H24" si="3">+G15*F15</f>
        <v>24640</v>
      </c>
      <c r="I15" s="150">
        <f t="shared" ref="I15:I24" si="4">+AP15/12</f>
        <v>37.333333333333336</v>
      </c>
      <c r="J15" s="13">
        <v>660</v>
      </c>
      <c r="K15" s="67">
        <f t="shared" ref="K15:K24" si="5">+J15*I15</f>
        <v>24640</v>
      </c>
      <c r="L15" s="150">
        <f t="shared" ref="L15:L24" si="6">+AP15/12</f>
        <v>37.333333333333336</v>
      </c>
      <c r="M15" s="13">
        <v>660</v>
      </c>
      <c r="N15" s="67">
        <f t="shared" ref="N15:N24" si="7">+M15*L15</f>
        <v>24640</v>
      </c>
      <c r="O15" s="150">
        <f t="shared" ref="O15:O24" si="8">+AP15/12</f>
        <v>37.333333333333336</v>
      </c>
      <c r="P15" s="13">
        <v>660</v>
      </c>
      <c r="Q15" s="67">
        <f t="shared" ref="Q15:Q24" si="9">+O15*P15</f>
        <v>24640</v>
      </c>
      <c r="R15" s="150">
        <f t="shared" ref="R15:R24" si="10">+AP15/12</f>
        <v>37.333333333333336</v>
      </c>
      <c r="S15" s="13">
        <v>660</v>
      </c>
      <c r="T15" s="67">
        <f t="shared" ref="T15:T24" si="11">+S15*R15</f>
        <v>24640</v>
      </c>
      <c r="U15" s="150">
        <f t="shared" ref="U15:U24" si="12">+AP15/12</f>
        <v>37.333333333333336</v>
      </c>
      <c r="V15" s="13">
        <v>660</v>
      </c>
      <c r="W15" s="67">
        <f t="shared" ref="W15:W24" si="13">+V15*U15</f>
        <v>24640</v>
      </c>
      <c r="X15" s="150">
        <f t="shared" ref="X15:X24" si="14">+AP15/12</f>
        <v>37.333333333333336</v>
      </c>
      <c r="Y15" s="13">
        <v>660</v>
      </c>
      <c r="Z15" s="67">
        <f t="shared" ref="Z15:Z24" si="15">+Y15*X15</f>
        <v>24640</v>
      </c>
      <c r="AA15" s="150">
        <f t="shared" ref="AA15:AA24" si="16">+AP15/12</f>
        <v>37.333333333333336</v>
      </c>
      <c r="AB15" s="13">
        <v>660</v>
      </c>
      <c r="AC15" s="68">
        <f t="shared" ref="AC15:AC24" si="17">+AB15*AA15</f>
        <v>24640</v>
      </c>
      <c r="AD15" s="150">
        <f t="shared" ref="AD15:AD24" si="18">+AP15/12</f>
        <v>37.333333333333336</v>
      </c>
      <c r="AE15" s="13">
        <v>660</v>
      </c>
      <c r="AF15" s="68">
        <f t="shared" ref="AF15:AF24" si="19">+AE15*AD15</f>
        <v>24640</v>
      </c>
      <c r="AG15" s="150">
        <f t="shared" ref="AG15:AG24" si="20">+AP15/12</f>
        <v>37.333333333333336</v>
      </c>
      <c r="AH15" s="13">
        <v>660</v>
      </c>
      <c r="AI15" s="68">
        <f t="shared" ref="AI15:AI24" si="21">+AH15*AG15</f>
        <v>24640</v>
      </c>
      <c r="AJ15" s="150">
        <f t="shared" ref="AJ15:AJ24" si="22">+AP15/12</f>
        <v>37.333333333333336</v>
      </c>
      <c r="AK15" s="13">
        <v>660</v>
      </c>
      <c r="AL15" s="94">
        <f t="shared" ref="AL15:AL24" si="23">+AK15*AJ15</f>
        <v>24640</v>
      </c>
      <c r="AM15" s="99">
        <f t="shared" ref="AM15:AM24" si="24">+AL15+AI15+AF15+AC15+Z15+W15+T15+Q15+N15+K15+H15+E15</f>
        <v>295680</v>
      </c>
      <c r="AN15" s="64">
        <f t="shared" ref="AN15:AN24" si="25">+AJ15+AG15+AD15+AA15+X15+U15+R15+O15+L15+I15+F15+C15</f>
        <v>447.99999999999994</v>
      </c>
      <c r="AP15" s="181">
        <v>448</v>
      </c>
      <c r="AQ15" s="182">
        <f t="shared" ref="AQ15:AQ24" si="26">+AP15/12</f>
        <v>37.333333333333336</v>
      </c>
    </row>
    <row r="16" spans="1:44" ht="15.75" customHeight="1" x14ac:dyDescent="0.2">
      <c r="A16" s="13"/>
      <c r="B16" s="62" t="s">
        <v>493</v>
      </c>
      <c r="C16" s="150">
        <f t="shared" si="0"/>
        <v>11</v>
      </c>
      <c r="D16" s="13">
        <v>420</v>
      </c>
      <c r="E16" s="67">
        <f t="shared" si="1"/>
        <v>4620</v>
      </c>
      <c r="F16" s="150">
        <f t="shared" si="2"/>
        <v>11</v>
      </c>
      <c r="G16" s="13">
        <v>420</v>
      </c>
      <c r="H16" s="67">
        <f t="shared" si="3"/>
        <v>4620</v>
      </c>
      <c r="I16" s="150">
        <f t="shared" si="4"/>
        <v>11</v>
      </c>
      <c r="J16" s="13">
        <v>420</v>
      </c>
      <c r="K16" s="67">
        <f t="shared" si="5"/>
        <v>4620</v>
      </c>
      <c r="L16" s="150">
        <f t="shared" si="6"/>
        <v>11</v>
      </c>
      <c r="M16" s="13">
        <v>420</v>
      </c>
      <c r="N16" s="67">
        <f t="shared" si="7"/>
        <v>4620</v>
      </c>
      <c r="O16" s="150">
        <f t="shared" si="8"/>
        <v>11</v>
      </c>
      <c r="P16" s="13">
        <v>420</v>
      </c>
      <c r="Q16" s="67">
        <f t="shared" si="9"/>
        <v>4620</v>
      </c>
      <c r="R16" s="150">
        <f t="shared" si="10"/>
        <v>11</v>
      </c>
      <c r="S16" s="13">
        <v>420</v>
      </c>
      <c r="T16" s="67">
        <f t="shared" si="11"/>
        <v>4620</v>
      </c>
      <c r="U16" s="150">
        <f t="shared" si="12"/>
        <v>11</v>
      </c>
      <c r="V16" s="13">
        <v>420</v>
      </c>
      <c r="W16" s="67">
        <f t="shared" si="13"/>
        <v>4620</v>
      </c>
      <c r="X16" s="150">
        <f t="shared" si="14"/>
        <v>11</v>
      </c>
      <c r="Y16" s="13">
        <v>420</v>
      </c>
      <c r="Z16" s="67">
        <f t="shared" si="15"/>
        <v>4620</v>
      </c>
      <c r="AA16" s="150">
        <f t="shared" si="16"/>
        <v>11</v>
      </c>
      <c r="AB16" s="13">
        <v>420</v>
      </c>
      <c r="AC16" s="68">
        <f t="shared" si="17"/>
        <v>4620</v>
      </c>
      <c r="AD16" s="150">
        <f t="shared" si="18"/>
        <v>11</v>
      </c>
      <c r="AE16" s="13">
        <v>420</v>
      </c>
      <c r="AF16" s="68">
        <f t="shared" si="19"/>
        <v>4620</v>
      </c>
      <c r="AG16" s="150">
        <f t="shared" si="20"/>
        <v>11</v>
      </c>
      <c r="AH16" s="13">
        <v>420</v>
      </c>
      <c r="AI16" s="68">
        <f t="shared" si="21"/>
        <v>4620</v>
      </c>
      <c r="AJ16" s="150">
        <f t="shared" si="22"/>
        <v>11</v>
      </c>
      <c r="AK16" s="13">
        <v>420</v>
      </c>
      <c r="AL16" s="94">
        <f t="shared" si="23"/>
        <v>4620</v>
      </c>
      <c r="AM16" s="99">
        <f t="shared" si="24"/>
        <v>55440</v>
      </c>
      <c r="AN16" s="64">
        <f t="shared" si="25"/>
        <v>132</v>
      </c>
      <c r="AP16" s="181">
        <v>132</v>
      </c>
      <c r="AQ16" s="182">
        <f t="shared" si="26"/>
        <v>11</v>
      </c>
    </row>
    <row r="17" spans="1:43" ht="15.75" customHeight="1" x14ac:dyDescent="0.2">
      <c r="A17" s="13"/>
      <c r="B17" s="62" t="s">
        <v>493</v>
      </c>
      <c r="C17" s="150">
        <f t="shared" si="0"/>
        <v>14.5</v>
      </c>
      <c r="D17" s="13">
        <v>840</v>
      </c>
      <c r="E17" s="67">
        <f t="shared" si="1"/>
        <v>12180</v>
      </c>
      <c r="F17" s="150">
        <f t="shared" si="2"/>
        <v>14.5</v>
      </c>
      <c r="G17" s="13">
        <v>840</v>
      </c>
      <c r="H17" s="67">
        <f t="shared" si="3"/>
        <v>12180</v>
      </c>
      <c r="I17" s="150">
        <f t="shared" si="4"/>
        <v>14.5</v>
      </c>
      <c r="J17" s="13">
        <v>840</v>
      </c>
      <c r="K17" s="67">
        <f t="shared" si="5"/>
        <v>12180</v>
      </c>
      <c r="L17" s="150">
        <f t="shared" si="6"/>
        <v>14.5</v>
      </c>
      <c r="M17" s="13">
        <v>840</v>
      </c>
      <c r="N17" s="67">
        <f t="shared" si="7"/>
        <v>12180</v>
      </c>
      <c r="O17" s="150">
        <f t="shared" si="8"/>
        <v>14.5</v>
      </c>
      <c r="P17" s="13">
        <v>840</v>
      </c>
      <c r="Q17" s="67">
        <f t="shared" si="9"/>
        <v>12180</v>
      </c>
      <c r="R17" s="150">
        <f t="shared" si="10"/>
        <v>14.5</v>
      </c>
      <c r="S17" s="13">
        <v>840</v>
      </c>
      <c r="T17" s="67">
        <f t="shared" si="11"/>
        <v>12180</v>
      </c>
      <c r="U17" s="150">
        <f t="shared" si="12"/>
        <v>14.5</v>
      </c>
      <c r="V17" s="13">
        <v>840</v>
      </c>
      <c r="W17" s="67">
        <f t="shared" si="13"/>
        <v>12180</v>
      </c>
      <c r="X17" s="150">
        <f t="shared" si="14"/>
        <v>14.5</v>
      </c>
      <c r="Y17" s="13">
        <v>840</v>
      </c>
      <c r="Z17" s="67">
        <f t="shared" si="15"/>
        <v>12180</v>
      </c>
      <c r="AA17" s="150">
        <f t="shared" si="16"/>
        <v>14.5</v>
      </c>
      <c r="AB17" s="13">
        <v>840</v>
      </c>
      <c r="AC17" s="68">
        <f t="shared" si="17"/>
        <v>12180</v>
      </c>
      <c r="AD17" s="150">
        <f t="shared" si="18"/>
        <v>14.5</v>
      </c>
      <c r="AE17" s="13">
        <v>840</v>
      </c>
      <c r="AF17" s="68">
        <f t="shared" si="19"/>
        <v>12180</v>
      </c>
      <c r="AG17" s="150">
        <f t="shared" si="20"/>
        <v>14.5</v>
      </c>
      <c r="AH17" s="13">
        <v>840</v>
      </c>
      <c r="AI17" s="68">
        <f t="shared" si="21"/>
        <v>12180</v>
      </c>
      <c r="AJ17" s="150">
        <f t="shared" si="22"/>
        <v>14.5</v>
      </c>
      <c r="AK17" s="13">
        <v>840</v>
      </c>
      <c r="AL17" s="94">
        <f t="shared" si="23"/>
        <v>12180</v>
      </c>
      <c r="AM17" s="99">
        <f t="shared" si="24"/>
        <v>146160</v>
      </c>
      <c r="AN17" s="64">
        <f t="shared" si="25"/>
        <v>174</v>
      </c>
      <c r="AP17" s="181">
        <v>174</v>
      </c>
      <c r="AQ17" s="182">
        <f t="shared" si="26"/>
        <v>14.5</v>
      </c>
    </row>
    <row r="18" spans="1:43" ht="15.75" customHeight="1" x14ac:dyDescent="0.2">
      <c r="A18" s="13"/>
      <c r="B18" s="62" t="s">
        <v>494</v>
      </c>
      <c r="C18" s="150">
        <f t="shared" si="0"/>
        <v>8.5833333333333339</v>
      </c>
      <c r="D18" s="13">
        <v>330</v>
      </c>
      <c r="E18" s="67">
        <f t="shared" si="1"/>
        <v>2832.5</v>
      </c>
      <c r="F18" s="150">
        <f t="shared" si="2"/>
        <v>8.5833333333333339</v>
      </c>
      <c r="G18" s="13">
        <v>330</v>
      </c>
      <c r="H18" s="67">
        <f t="shared" si="3"/>
        <v>2832.5</v>
      </c>
      <c r="I18" s="150">
        <f t="shared" si="4"/>
        <v>8.5833333333333339</v>
      </c>
      <c r="J18" s="13">
        <v>330</v>
      </c>
      <c r="K18" s="67">
        <f t="shared" si="5"/>
        <v>2832.5</v>
      </c>
      <c r="L18" s="150">
        <f t="shared" si="6"/>
        <v>8.5833333333333339</v>
      </c>
      <c r="M18" s="13">
        <v>330</v>
      </c>
      <c r="N18" s="67">
        <f t="shared" si="7"/>
        <v>2832.5</v>
      </c>
      <c r="O18" s="150">
        <f t="shared" si="8"/>
        <v>8.5833333333333339</v>
      </c>
      <c r="P18" s="13">
        <v>330</v>
      </c>
      <c r="Q18" s="67">
        <f t="shared" si="9"/>
        <v>2832.5</v>
      </c>
      <c r="R18" s="150">
        <f t="shared" si="10"/>
        <v>8.5833333333333339</v>
      </c>
      <c r="S18" s="13">
        <v>330</v>
      </c>
      <c r="T18" s="67">
        <f t="shared" si="11"/>
        <v>2832.5</v>
      </c>
      <c r="U18" s="150">
        <f t="shared" si="12"/>
        <v>8.5833333333333339</v>
      </c>
      <c r="V18" s="13">
        <v>330</v>
      </c>
      <c r="W18" s="67">
        <f t="shared" si="13"/>
        <v>2832.5</v>
      </c>
      <c r="X18" s="150">
        <f t="shared" si="14"/>
        <v>8.5833333333333339</v>
      </c>
      <c r="Y18" s="13">
        <v>330</v>
      </c>
      <c r="Z18" s="67">
        <f t="shared" si="15"/>
        <v>2832.5</v>
      </c>
      <c r="AA18" s="150">
        <f t="shared" si="16"/>
        <v>8.5833333333333339</v>
      </c>
      <c r="AB18" s="13">
        <v>330</v>
      </c>
      <c r="AC18" s="68">
        <f t="shared" si="17"/>
        <v>2832.5</v>
      </c>
      <c r="AD18" s="150">
        <f t="shared" si="18"/>
        <v>8.5833333333333339</v>
      </c>
      <c r="AE18" s="13">
        <v>330</v>
      </c>
      <c r="AF18" s="68">
        <f t="shared" si="19"/>
        <v>2832.5</v>
      </c>
      <c r="AG18" s="150">
        <f t="shared" si="20"/>
        <v>8.5833333333333339</v>
      </c>
      <c r="AH18" s="13">
        <v>330</v>
      </c>
      <c r="AI18" s="68">
        <f t="shared" si="21"/>
        <v>2832.5</v>
      </c>
      <c r="AJ18" s="150">
        <f t="shared" si="22"/>
        <v>8.5833333333333339</v>
      </c>
      <c r="AK18" s="13">
        <v>330</v>
      </c>
      <c r="AL18" s="94">
        <f t="shared" si="23"/>
        <v>2832.5</v>
      </c>
      <c r="AM18" s="99">
        <f t="shared" si="24"/>
        <v>33990</v>
      </c>
      <c r="AN18" s="64">
        <f t="shared" si="25"/>
        <v>102.99999999999999</v>
      </c>
      <c r="AP18" s="181">
        <v>103</v>
      </c>
      <c r="AQ18" s="182">
        <f t="shared" si="26"/>
        <v>8.5833333333333339</v>
      </c>
    </row>
    <row r="19" spans="1:43" ht="15.75" customHeight="1" x14ac:dyDescent="0.2">
      <c r="A19" s="13"/>
      <c r="B19" s="62" t="s">
        <v>494</v>
      </c>
      <c r="C19" s="150">
        <f t="shared" si="0"/>
        <v>4.25</v>
      </c>
      <c r="D19" s="13">
        <v>660</v>
      </c>
      <c r="E19" s="67">
        <f t="shared" si="1"/>
        <v>2805</v>
      </c>
      <c r="F19" s="150">
        <f t="shared" si="2"/>
        <v>4.25</v>
      </c>
      <c r="G19" s="13">
        <v>660</v>
      </c>
      <c r="H19" s="67">
        <f t="shared" si="3"/>
        <v>2805</v>
      </c>
      <c r="I19" s="150">
        <f t="shared" si="4"/>
        <v>4.25</v>
      </c>
      <c r="J19" s="13">
        <v>660</v>
      </c>
      <c r="K19" s="67">
        <f t="shared" si="5"/>
        <v>2805</v>
      </c>
      <c r="L19" s="150">
        <f t="shared" si="6"/>
        <v>4.25</v>
      </c>
      <c r="M19" s="13">
        <v>660</v>
      </c>
      <c r="N19" s="67">
        <f t="shared" si="7"/>
        <v>2805</v>
      </c>
      <c r="O19" s="150">
        <f t="shared" si="8"/>
        <v>4.25</v>
      </c>
      <c r="P19" s="13">
        <v>660</v>
      </c>
      <c r="Q19" s="67">
        <f t="shared" si="9"/>
        <v>2805</v>
      </c>
      <c r="R19" s="150">
        <f t="shared" si="10"/>
        <v>4.25</v>
      </c>
      <c r="S19" s="13">
        <v>660</v>
      </c>
      <c r="T19" s="67">
        <f t="shared" si="11"/>
        <v>2805</v>
      </c>
      <c r="U19" s="150">
        <f t="shared" si="12"/>
        <v>4.25</v>
      </c>
      <c r="V19" s="13">
        <v>660</v>
      </c>
      <c r="W19" s="67">
        <f t="shared" si="13"/>
        <v>2805</v>
      </c>
      <c r="X19" s="150">
        <f t="shared" si="14"/>
        <v>4.25</v>
      </c>
      <c r="Y19" s="13">
        <v>660</v>
      </c>
      <c r="Z19" s="67">
        <f t="shared" si="15"/>
        <v>2805</v>
      </c>
      <c r="AA19" s="150">
        <f t="shared" si="16"/>
        <v>4.25</v>
      </c>
      <c r="AB19" s="13">
        <v>660</v>
      </c>
      <c r="AC19" s="68">
        <f t="shared" si="17"/>
        <v>2805</v>
      </c>
      <c r="AD19" s="150">
        <f t="shared" si="18"/>
        <v>4.25</v>
      </c>
      <c r="AE19" s="13">
        <v>660</v>
      </c>
      <c r="AF19" s="68">
        <f t="shared" si="19"/>
        <v>2805</v>
      </c>
      <c r="AG19" s="150">
        <f t="shared" si="20"/>
        <v>4.25</v>
      </c>
      <c r="AH19" s="13">
        <v>660</v>
      </c>
      <c r="AI19" s="68">
        <f t="shared" si="21"/>
        <v>2805</v>
      </c>
      <c r="AJ19" s="150">
        <f t="shared" si="22"/>
        <v>4.25</v>
      </c>
      <c r="AK19" s="13">
        <v>660</v>
      </c>
      <c r="AL19" s="94">
        <f t="shared" si="23"/>
        <v>2805</v>
      </c>
      <c r="AM19" s="99">
        <f t="shared" si="24"/>
        <v>33660</v>
      </c>
      <c r="AN19" s="64">
        <f t="shared" si="25"/>
        <v>51</v>
      </c>
      <c r="AP19" s="181">
        <v>51</v>
      </c>
      <c r="AQ19" s="182">
        <f t="shared" si="26"/>
        <v>4.25</v>
      </c>
    </row>
    <row r="20" spans="1:43" ht="15.75" customHeight="1" x14ac:dyDescent="0.2">
      <c r="A20" s="13"/>
      <c r="B20" s="62" t="s">
        <v>495</v>
      </c>
      <c r="C20" s="150">
        <f t="shared" si="0"/>
        <v>87</v>
      </c>
      <c r="D20" s="13">
        <v>150</v>
      </c>
      <c r="E20" s="67">
        <f t="shared" si="1"/>
        <v>13050</v>
      </c>
      <c r="F20" s="150">
        <f t="shared" si="2"/>
        <v>87</v>
      </c>
      <c r="G20" s="13">
        <v>150</v>
      </c>
      <c r="H20" s="67">
        <f t="shared" si="3"/>
        <v>13050</v>
      </c>
      <c r="I20" s="150">
        <f t="shared" si="4"/>
        <v>87</v>
      </c>
      <c r="J20" s="13">
        <v>150</v>
      </c>
      <c r="K20" s="67">
        <f t="shared" si="5"/>
        <v>13050</v>
      </c>
      <c r="L20" s="150">
        <f t="shared" si="6"/>
        <v>87</v>
      </c>
      <c r="M20" s="13">
        <v>150</v>
      </c>
      <c r="N20" s="67">
        <f t="shared" si="7"/>
        <v>13050</v>
      </c>
      <c r="O20" s="150">
        <f t="shared" si="8"/>
        <v>87</v>
      </c>
      <c r="P20" s="13">
        <v>150</v>
      </c>
      <c r="Q20" s="67">
        <f t="shared" si="9"/>
        <v>13050</v>
      </c>
      <c r="R20" s="150">
        <f t="shared" si="10"/>
        <v>87</v>
      </c>
      <c r="S20" s="13">
        <v>150</v>
      </c>
      <c r="T20" s="67">
        <f t="shared" si="11"/>
        <v>13050</v>
      </c>
      <c r="U20" s="150">
        <f t="shared" si="12"/>
        <v>87</v>
      </c>
      <c r="V20" s="13">
        <v>150</v>
      </c>
      <c r="W20" s="67">
        <f t="shared" si="13"/>
        <v>13050</v>
      </c>
      <c r="X20" s="150">
        <f t="shared" si="14"/>
        <v>87</v>
      </c>
      <c r="Y20" s="13">
        <v>150</v>
      </c>
      <c r="Z20" s="67">
        <f t="shared" si="15"/>
        <v>13050</v>
      </c>
      <c r="AA20" s="150">
        <f t="shared" si="16"/>
        <v>87</v>
      </c>
      <c r="AB20" s="13">
        <v>150</v>
      </c>
      <c r="AC20" s="68">
        <f t="shared" si="17"/>
        <v>13050</v>
      </c>
      <c r="AD20" s="150">
        <f t="shared" si="18"/>
        <v>87</v>
      </c>
      <c r="AE20" s="13">
        <v>150</v>
      </c>
      <c r="AF20" s="68">
        <f t="shared" si="19"/>
        <v>13050</v>
      </c>
      <c r="AG20" s="150">
        <f t="shared" si="20"/>
        <v>87</v>
      </c>
      <c r="AH20" s="13">
        <v>150</v>
      </c>
      <c r="AI20" s="68">
        <f t="shared" si="21"/>
        <v>13050</v>
      </c>
      <c r="AJ20" s="150">
        <f t="shared" si="22"/>
        <v>87</v>
      </c>
      <c r="AK20" s="13">
        <v>150</v>
      </c>
      <c r="AL20" s="94">
        <f t="shared" si="23"/>
        <v>13050</v>
      </c>
      <c r="AM20" s="99">
        <f t="shared" si="24"/>
        <v>156600</v>
      </c>
      <c r="AN20" s="64">
        <f t="shared" si="25"/>
        <v>1044</v>
      </c>
      <c r="AP20" s="181">
        <v>1044</v>
      </c>
      <c r="AQ20" s="182">
        <f t="shared" si="26"/>
        <v>87</v>
      </c>
    </row>
    <row r="21" spans="1:43" ht="15.75" customHeight="1" x14ac:dyDescent="0.2">
      <c r="A21" s="13"/>
      <c r="B21" s="62" t="s">
        <v>495</v>
      </c>
      <c r="C21" s="150">
        <f t="shared" si="0"/>
        <v>18.5</v>
      </c>
      <c r="D21" s="13">
        <v>300</v>
      </c>
      <c r="E21" s="67">
        <f t="shared" si="1"/>
        <v>5550</v>
      </c>
      <c r="F21" s="150">
        <f t="shared" si="2"/>
        <v>18.5</v>
      </c>
      <c r="G21" s="13">
        <v>300</v>
      </c>
      <c r="H21" s="67">
        <f t="shared" si="3"/>
        <v>5550</v>
      </c>
      <c r="I21" s="150">
        <f t="shared" si="4"/>
        <v>18.5</v>
      </c>
      <c r="J21" s="13">
        <v>300</v>
      </c>
      <c r="K21" s="67">
        <f t="shared" si="5"/>
        <v>5550</v>
      </c>
      <c r="L21" s="150">
        <f t="shared" si="6"/>
        <v>18.5</v>
      </c>
      <c r="M21" s="13">
        <v>300</v>
      </c>
      <c r="N21" s="67">
        <f t="shared" si="7"/>
        <v>5550</v>
      </c>
      <c r="O21" s="150">
        <f t="shared" si="8"/>
        <v>18.5</v>
      </c>
      <c r="P21" s="13">
        <v>300</v>
      </c>
      <c r="Q21" s="67">
        <f t="shared" si="9"/>
        <v>5550</v>
      </c>
      <c r="R21" s="150">
        <f t="shared" si="10"/>
        <v>18.5</v>
      </c>
      <c r="S21" s="13">
        <v>300</v>
      </c>
      <c r="T21" s="67">
        <f t="shared" si="11"/>
        <v>5550</v>
      </c>
      <c r="U21" s="150">
        <f t="shared" si="12"/>
        <v>18.5</v>
      </c>
      <c r="V21" s="13">
        <v>300</v>
      </c>
      <c r="W21" s="67">
        <f t="shared" si="13"/>
        <v>5550</v>
      </c>
      <c r="X21" s="150">
        <f t="shared" si="14"/>
        <v>18.5</v>
      </c>
      <c r="Y21" s="13">
        <v>300</v>
      </c>
      <c r="Z21" s="67">
        <f t="shared" si="15"/>
        <v>5550</v>
      </c>
      <c r="AA21" s="150">
        <f t="shared" si="16"/>
        <v>18.5</v>
      </c>
      <c r="AB21" s="13">
        <v>300</v>
      </c>
      <c r="AC21" s="68">
        <f t="shared" si="17"/>
        <v>5550</v>
      </c>
      <c r="AD21" s="150">
        <f t="shared" si="18"/>
        <v>18.5</v>
      </c>
      <c r="AE21" s="13">
        <v>300</v>
      </c>
      <c r="AF21" s="68">
        <f t="shared" si="19"/>
        <v>5550</v>
      </c>
      <c r="AG21" s="150">
        <f t="shared" si="20"/>
        <v>18.5</v>
      </c>
      <c r="AH21" s="13">
        <v>300</v>
      </c>
      <c r="AI21" s="68">
        <f t="shared" si="21"/>
        <v>5550</v>
      </c>
      <c r="AJ21" s="150">
        <f t="shared" si="22"/>
        <v>18.5</v>
      </c>
      <c r="AK21" s="13">
        <v>300</v>
      </c>
      <c r="AL21" s="94">
        <f t="shared" si="23"/>
        <v>5550</v>
      </c>
      <c r="AM21" s="99">
        <f t="shared" si="24"/>
        <v>66600</v>
      </c>
      <c r="AN21" s="64">
        <f t="shared" si="25"/>
        <v>222</v>
      </c>
      <c r="AP21" s="181">
        <v>222</v>
      </c>
      <c r="AQ21" s="182">
        <f t="shared" si="26"/>
        <v>18.5</v>
      </c>
    </row>
    <row r="22" spans="1:43" ht="15.75" customHeight="1" x14ac:dyDescent="0.2">
      <c r="A22" s="13"/>
      <c r="B22" s="62" t="s">
        <v>424</v>
      </c>
      <c r="C22" s="150">
        <f t="shared" si="0"/>
        <v>1.6666666666666667</v>
      </c>
      <c r="D22" s="13">
        <v>240</v>
      </c>
      <c r="E22" s="67">
        <f t="shared" si="1"/>
        <v>400</v>
      </c>
      <c r="F22" s="150">
        <f t="shared" si="2"/>
        <v>1.6666666666666667</v>
      </c>
      <c r="G22" s="13">
        <v>240</v>
      </c>
      <c r="H22" s="67">
        <f t="shared" si="3"/>
        <v>400</v>
      </c>
      <c r="I22" s="150">
        <f t="shared" si="4"/>
        <v>1.6666666666666667</v>
      </c>
      <c r="J22" s="13">
        <v>240</v>
      </c>
      <c r="K22" s="67">
        <f t="shared" si="5"/>
        <v>400</v>
      </c>
      <c r="L22" s="150">
        <f t="shared" si="6"/>
        <v>1.6666666666666667</v>
      </c>
      <c r="M22" s="13">
        <v>240</v>
      </c>
      <c r="N22" s="67">
        <f t="shared" si="7"/>
        <v>400</v>
      </c>
      <c r="O22" s="150">
        <f t="shared" si="8"/>
        <v>1.6666666666666667</v>
      </c>
      <c r="P22" s="13">
        <v>240</v>
      </c>
      <c r="Q22" s="67">
        <f t="shared" si="9"/>
        <v>400</v>
      </c>
      <c r="R22" s="150">
        <f t="shared" si="10"/>
        <v>1.6666666666666667</v>
      </c>
      <c r="S22" s="13">
        <v>240</v>
      </c>
      <c r="T22" s="67">
        <f t="shared" si="11"/>
        <v>400</v>
      </c>
      <c r="U22" s="150">
        <f t="shared" si="12"/>
        <v>1.6666666666666667</v>
      </c>
      <c r="V22" s="13">
        <v>240</v>
      </c>
      <c r="W22" s="67">
        <f t="shared" si="13"/>
        <v>400</v>
      </c>
      <c r="X22" s="150">
        <f t="shared" si="14"/>
        <v>1.6666666666666667</v>
      </c>
      <c r="Y22" s="13">
        <v>240</v>
      </c>
      <c r="Z22" s="67">
        <f t="shared" si="15"/>
        <v>400</v>
      </c>
      <c r="AA22" s="150">
        <f t="shared" si="16"/>
        <v>1.6666666666666667</v>
      </c>
      <c r="AB22" s="13">
        <v>240</v>
      </c>
      <c r="AC22" s="68">
        <f t="shared" si="17"/>
        <v>400</v>
      </c>
      <c r="AD22" s="150">
        <f t="shared" si="18"/>
        <v>1.6666666666666667</v>
      </c>
      <c r="AE22" s="13">
        <v>240</v>
      </c>
      <c r="AF22" s="68">
        <f t="shared" si="19"/>
        <v>400</v>
      </c>
      <c r="AG22" s="150">
        <f t="shared" si="20"/>
        <v>1.6666666666666667</v>
      </c>
      <c r="AH22" s="13">
        <v>240</v>
      </c>
      <c r="AI22" s="68">
        <f t="shared" si="21"/>
        <v>400</v>
      </c>
      <c r="AJ22" s="150">
        <f t="shared" si="22"/>
        <v>1.6666666666666667</v>
      </c>
      <c r="AK22" s="13">
        <v>240</v>
      </c>
      <c r="AL22" s="94">
        <f t="shared" si="23"/>
        <v>400</v>
      </c>
      <c r="AM22" s="99">
        <f t="shared" si="24"/>
        <v>4800</v>
      </c>
      <c r="AN22" s="64">
        <f t="shared" si="25"/>
        <v>20</v>
      </c>
      <c r="AP22" s="181">
        <v>20</v>
      </c>
      <c r="AQ22" s="182">
        <f t="shared" si="26"/>
        <v>1.6666666666666667</v>
      </c>
    </row>
    <row r="23" spans="1:43" ht="15.75" customHeight="1" x14ac:dyDescent="0.2">
      <c r="A23" s="13"/>
      <c r="B23" s="62" t="s">
        <v>424</v>
      </c>
      <c r="C23" s="150">
        <f t="shared" si="0"/>
        <v>4.166666666666667</v>
      </c>
      <c r="D23" s="13">
        <v>480</v>
      </c>
      <c r="E23" s="67">
        <f t="shared" si="1"/>
        <v>2000.0000000000002</v>
      </c>
      <c r="F23" s="150">
        <f t="shared" si="2"/>
        <v>4.166666666666667</v>
      </c>
      <c r="G23" s="13">
        <v>480</v>
      </c>
      <c r="H23" s="67">
        <f t="shared" si="3"/>
        <v>2000.0000000000002</v>
      </c>
      <c r="I23" s="150">
        <f t="shared" si="4"/>
        <v>4.166666666666667</v>
      </c>
      <c r="J23" s="13">
        <v>480</v>
      </c>
      <c r="K23" s="67">
        <f t="shared" si="5"/>
        <v>2000.0000000000002</v>
      </c>
      <c r="L23" s="150">
        <f t="shared" si="6"/>
        <v>4.166666666666667</v>
      </c>
      <c r="M23" s="13">
        <v>480</v>
      </c>
      <c r="N23" s="67">
        <f t="shared" si="7"/>
        <v>2000.0000000000002</v>
      </c>
      <c r="O23" s="150">
        <f t="shared" si="8"/>
        <v>4.166666666666667</v>
      </c>
      <c r="P23" s="13">
        <v>480</v>
      </c>
      <c r="Q23" s="67">
        <f t="shared" si="9"/>
        <v>2000.0000000000002</v>
      </c>
      <c r="R23" s="150">
        <f t="shared" si="10"/>
        <v>4.166666666666667</v>
      </c>
      <c r="S23" s="13">
        <v>480</v>
      </c>
      <c r="T23" s="67">
        <f t="shared" si="11"/>
        <v>2000.0000000000002</v>
      </c>
      <c r="U23" s="150">
        <f t="shared" si="12"/>
        <v>4.166666666666667</v>
      </c>
      <c r="V23" s="13">
        <v>480</v>
      </c>
      <c r="W23" s="67">
        <f t="shared" si="13"/>
        <v>2000.0000000000002</v>
      </c>
      <c r="X23" s="150">
        <f t="shared" si="14"/>
        <v>4.166666666666667</v>
      </c>
      <c r="Y23" s="13">
        <v>480</v>
      </c>
      <c r="Z23" s="67">
        <f t="shared" si="15"/>
        <v>2000.0000000000002</v>
      </c>
      <c r="AA23" s="150">
        <f t="shared" si="16"/>
        <v>4.166666666666667</v>
      </c>
      <c r="AB23" s="13">
        <v>480</v>
      </c>
      <c r="AC23" s="68">
        <f t="shared" si="17"/>
        <v>2000.0000000000002</v>
      </c>
      <c r="AD23" s="150">
        <f t="shared" si="18"/>
        <v>4.166666666666667</v>
      </c>
      <c r="AE23" s="13">
        <v>480</v>
      </c>
      <c r="AF23" s="68">
        <f t="shared" si="19"/>
        <v>2000.0000000000002</v>
      </c>
      <c r="AG23" s="150">
        <f t="shared" si="20"/>
        <v>4.166666666666667</v>
      </c>
      <c r="AH23" s="13">
        <v>480</v>
      </c>
      <c r="AI23" s="68">
        <f t="shared" si="21"/>
        <v>2000.0000000000002</v>
      </c>
      <c r="AJ23" s="150">
        <f t="shared" si="22"/>
        <v>4.166666666666667</v>
      </c>
      <c r="AK23" s="13">
        <v>480</v>
      </c>
      <c r="AL23" s="94">
        <f t="shared" si="23"/>
        <v>2000.0000000000002</v>
      </c>
      <c r="AM23" s="99">
        <f t="shared" si="24"/>
        <v>24000.000000000004</v>
      </c>
      <c r="AN23" s="64">
        <f t="shared" si="25"/>
        <v>49.999999999999993</v>
      </c>
      <c r="AP23" s="181">
        <v>50</v>
      </c>
      <c r="AQ23" s="182">
        <f t="shared" si="26"/>
        <v>4.166666666666667</v>
      </c>
    </row>
    <row r="24" spans="1:43" ht="15.75" customHeight="1" x14ac:dyDescent="0.2">
      <c r="A24" s="13"/>
      <c r="B24" s="62" t="s">
        <v>496</v>
      </c>
      <c r="C24" s="150">
        <f t="shared" si="0"/>
        <v>4.583333333333333</v>
      </c>
      <c r="D24" s="13">
        <v>260</v>
      </c>
      <c r="E24" s="67">
        <f t="shared" si="1"/>
        <v>1191.6666666666665</v>
      </c>
      <c r="F24" s="150">
        <f t="shared" si="2"/>
        <v>4.583333333333333</v>
      </c>
      <c r="G24" s="13">
        <v>260</v>
      </c>
      <c r="H24" s="67">
        <f t="shared" si="3"/>
        <v>1191.6666666666665</v>
      </c>
      <c r="I24" s="150">
        <f t="shared" si="4"/>
        <v>4.583333333333333</v>
      </c>
      <c r="J24" s="13">
        <v>260</v>
      </c>
      <c r="K24" s="67">
        <f t="shared" si="5"/>
        <v>1191.6666666666665</v>
      </c>
      <c r="L24" s="150">
        <f t="shared" si="6"/>
        <v>4.583333333333333</v>
      </c>
      <c r="M24" s="13">
        <v>260</v>
      </c>
      <c r="N24" s="67">
        <f t="shared" si="7"/>
        <v>1191.6666666666665</v>
      </c>
      <c r="O24" s="150">
        <f t="shared" si="8"/>
        <v>4.583333333333333</v>
      </c>
      <c r="P24" s="13">
        <v>260</v>
      </c>
      <c r="Q24" s="67">
        <f t="shared" si="9"/>
        <v>1191.6666666666665</v>
      </c>
      <c r="R24" s="150">
        <f t="shared" si="10"/>
        <v>4.583333333333333</v>
      </c>
      <c r="S24" s="13">
        <v>260</v>
      </c>
      <c r="T24" s="67">
        <f t="shared" si="11"/>
        <v>1191.6666666666665</v>
      </c>
      <c r="U24" s="150">
        <f t="shared" si="12"/>
        <v>4.583333333333333</v>
      </c>
      <c r="V24" s="13">
        <v>260</v>
      </c>
      <c r="W24" s="67">
        <f t="shared" si="13"/>
        <v>1191.6666666666665</v>
      </c>
      <c r="X24" s="150">
        <f t="shared" si="14"/>
        <v>4.583333333333333</v>
      </c>
      <c r="Y24" s="13">
        <v>260</v>
      </c>
      <c r="Z24" s="67">
        <f t="shared" si="15"/>
        <v>1191.6666666666665</v>
      </c>
      <c r="AA24" s="150">
        <f t="shared" si="16"/>
        <v>4.583333333333333</v>
      </c>
      <c r="AB24" s="13">
        <v>260</v>
      </c>
      <c r="AC24" s="68">
        <f t="shared" si="17"/>
        <v>1191.6666666666665</v>
      </c>
      <c r="AD24" s="150">
        <f t="shared" si="18"/>
        <v>4.583333333333333</v>
      </c>
      <c r="AE24" s="13">
        <v>260</v>
      </c>
      <c r="AF24" s="68">
        <f t="shared" si="19"/>
        <v>1191.6666666666665</v>
      </c>
      <c r="AG24" s="150">
        <f t="shared" si="20"/>
        <v>4.583333333333333</v>
      </c>
      <c r="AH24" s="13">
        <v>260</v>
      </c>
      <c r="AI24" s="68">
        <f t="shared" si="21"/>
        <v>1191.6666666666665</v>
      </c>
      <c r="AJ24" s="150">
        <f t="shared" si="22"/>
        <v>4.583333333333333</v>
      </c>
      <c r="AK24" s="13">
        <v>260</v>
      </c>
      <c r="AL24" s="94">
        <f t="shared" si="23"/>
        <v>1191.6666666666665</v>
      </c>
      <c r="AM24" s="99">
        <f t="shared" si="24"/>
        <v>14299.999999999995</v>
      </c>
      <c r="AN24" s="64">
        <f t="shared" si="25"/>
        <v>55.000000000000007</v>
      </c>
      <c r="AP24" s="181">
        <v>55</v>
      </c>
      <c r="AQ24" s="182">
        <f t="shared" si="26"/>
        <v>4.583333333333333</v>
      </c>
    </row>
    <row r="25" spans="1:43" ht="15.7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L25" s="94"/>
      <c r="AM25" s="100"/>
    </row>
    <row r="26" spans="1:43" ht="15.75" customHeight="1" x14ac:dyDescent="0.2">
      <c r="A26" s="82" t="s">
        <v>512</v>
      </c>
      <c r="B26" s="82"/>
      <c r="C26" s="13"/>
      <c r="D26" s="13"/>
      <c r="E26" s="83">
        <f>SUM(E14:E25)</f>
        <v>78179.166666666672</v>
      </c>
      <c r="F26" s="83"/>
      <c r="G26" s="83"/>
      <c r="H26" s="83">
        <f>SUM(H14:H25)</f>
        <v>78179.166666666672</v>
      </c>
      <c r="I26" s="83"/>
      <c r="J26" s="83"/>
      <c r="K26" s="83">
        <f>SUM(K14:K25)</f>
        <v>78179.166666666672</v>
      </c>
      <c r="L26" s="83"/>
      <c r="M26" s="83"/>
      <c r="N26" s="83">
        <f>SUM(N14:N25)</f>
        <v>78179.166666666672</v>
      </c>
      <c r="O26" s="83"/>
      <c r="P26" s="83"/>
      <c r="Q26" s="83">
        <f>SUM(Q14:Q25)</f>
        <v>78179.166666666672</v>
      </c>
      <c r="R26" s="83"/>
      <c r="S26" s="83"/>
      <c r="T26" s="83">
        <f>SUM(T14:T25)</f>
        <v>78179.166666666672</v>
      </c>
      <c r="U26" s="83"/>
      <c r="V26" s="83"/>
      <c r="W26" s="83">
        <f>SUM(W14:W25)</f>
        <v>78179.166666666672</v>
      </c>
      <c r="X26" s="83"/>
      <c r="Y26" s="83"/>
      <c r="Z26" s="83">
        <f>SUM(Z14:Z25)</f>
        <v>78179.166666666672</v>
      </c>
      <c r="AA26" s="88"/>
      <c r="AB26" s="88"/>
      <c r="AC26" s="83">
        <f>SUM(AC14:AC25)</f>
        <v>78179.166666666672</v>
      </c>
      <c r="AD26" s="88"/>
      <c r="AE26" s="88"/>
      <c r="AF26" s="83">
        <f>SUM(AF14:AF25)</f>
        <v>78179.166666666672</v>
      </c>
      <c r="AG26" s="88"/>
      <c r="AH26" s="88"/>
      <c r="AI26" s="83">
        <f>SUM(AI14:AI25)</f>
        <v>78179.166666666672</v>
      </c>
      <c r="AJ26" s="88"/>
      <c r="AK26" s="88"/>
      <c r="AL26" s="95">
        <f>SUM(AL14:AL25)</f>
        <v>78179.166666666672</v>
      </c>
      <c r="AM26" s="101">
        <f>SUM(AM14:AM25)</f>
        <v>938150</v>
      </c>
    </row>
    <row r="27" spans="1:43" ht="15.75" customHeight="1" x14ac:dyDescent="0.2">
      <c r="A27" s="82" t="s">
        <v>519</v>
      </c>
      <c r="B27" s="82"/>
      <c r="C27" s="13"/>
      <c r="D27" s="13"/>
      <c r="E27" s="83">
        <f>SUM(E28:E42)</f>
        <v>38146.367500000008</v>
      </c>
      <c r="F27" s="83"/>
      <c r="G27" s="83"/>
      <c r="H27" s="83">
        <f>SUM(H28:H42)</f>
        <v>38146.367500000008</v>
      </c>
      <c r="I27" s="83"/>
      <c r="J27" s="83"/>
      <c r="K27" s="83">
        <f>SUM(K28:K42)</f>
        <v>38146.367500000008</v>
      </c>
      <c r="L27" s="83"/>
      <c r="M27" s="83"/>
      <c r="N27" s="83">
        <f>SUM(N28:N42)</f>
        <v>38146.367500000008</v>
      </c>
      <c r="O27" s="83"/>
      <c r="P27" s="83"/>
      <c r="Q27" s="83">
        <f>SUM(Q28:Q42)</f>
        <v>38146.367500000008</v>
      </c>
      <c r="R27" s="83"/>
      <c r="S27" s="83"/>
      <c r="T27" s="83">
        <f>SUM(T28:T42)</f>
        <v>38146.367500000008</v>
      </c>
      <c r="U27" s="83"/>
      <c r="V27" s="83"/>
      <c r="W27" s="83">
        <f>SUM(W28:W42)</f>
        <v>38146.367500000008</v>
      </c>
      <c r="X27" s="83"/>
      <c r="Y27" s="83"/>
      <c r="Z27" s="83">
        <f>SUM(Z28:Z42)</f>
        <v>38146.367500000008</v>
      </c>
      <c r="AA27" s="88"/>
      <c r="AB27" s="88"/>
      <c r="AC27" s="83">
        <f>SUM(AC28:AC42)</f>
        <v>38146.367500000008</v>
      </c>
      <c r="AD27" s="88"/>
      <c r="AE27" s="88"/>
      <c r="AF27" s="83">
        <f>SUM(AF28:AF42)</f>
        <v>38146.367500000008</v>
      </c>
      <c r="AG27" s="88"/>
      <c r="AH27" s="88"/>
      <c r="AI27" s="83">
        <f>SUM(AI28:AI42)</f>
        <v>38146.367500000008</v>
      </c>
      <c r="AJ27" s="88"/>
      <c r="AK27" s="88"/>
      <c r="AL27" s="95">
        <f>SUM(AL28:AL42)</f>
        <v>38146.367500000008</v>
      </c>
      <c r="AM27" s="101">
        <f>SUM(AM28:AM42)</f>
        <v>457756.41000000009</v>
      </c>
    </row>
    <row r="28" spans="1:43" ht="15.75" customHeight="1" x14ac:dyDescent="0.2">
      <c r="A28" s="75"/>
      <c r="B28" s="76" t="s">
        <v>492</v>
      </c>
      <c r="C28" s="13"/>
      <c r="D28" s="13">
        <v>185.27</v>
      </c>
      <c r="E28" s="13">
        <f t="shared" ref="E28:E38" si="27">+D28*C14</f>
        <v>5002.29</v>
      </c>
      <c r="F28" s="13"/>
      <c r="G28" s="13">
        <v>185.27</v>
      </c>
      <c r="H28" s="13">
        <f t="shared" ref="H28:H38" si="28">+G28*F14</f>
        <v>5002.29</v>
      </c>
      <c r="I28" s="13"/>
      <c r="J28" s="13">
        <v>185.27</v>
      </c>
      <c r="K28" s="13">
        <f t="shared" ref="K28:K38" si="29">+J28*I14</f>
        <v>5002.29</v>
      </c>
      <c r="L28" s="13"/>
      <c r="M28" s="13">
        <v>185.27</v>
      </c>
      <c r="N28" s="13">
        <f t="shared" ref="N28:N38" si="30">+M28*L14</f>
        <v>5002.29</v>
      </c>
      <c r="O28" s="13"/>
      <c r="P28" s="13">
        <v>185.27</v>
      </c>
      <c r="Q28" s="13">
        <f t="shared" ref="Q28:Q38" si="31">+P28*O14</f>
        <v>5002.29</v>
      </c>
      <c r="R28" s="13"/>
      <c r="S28" s="13">
        <v>185.27</v>
      </c>
      <c r="T28" s="13">
        <f t="shared" ref="T28:T38" si="32">+S28*R14</f>
        <v>5002.29</v>
      </c>
      <c r="U28" s="13"/>
      <c r="V28" s="13">
        <v>185.27</v>
      </c>
      <c r="W28" s="13">
        <f t="shared" ref="W28:W38" si="33">+V28*U14</f>
        <v>5002.29</v>
      </c>
      <c r="X28" s="13"/>
      <c r="Y28" s="13">
        <v>185.27</v>
      </c>
      <c r="Z28" s="13">
        <f t="shared" ref="Z28:Z38" si="34">+Y28*X14</f>
        <v>5002.29</v>
      </c>
      <c r="AB28" s="13">
        <v>185.27</v>
      </c>
      <c r="AC28" s="13">
        <f t="shared" ref="AC28:AC38" si="35">+AB28*AA14</f>
        <v>5002.29</v>
      </c>
      <c r="AE28" s="13">
        <v>185.27</v>
      </c>
      <c r="AF28" s="13">
        <f t="shared" ref="AF28:AF38" si="36">+AE28*AD14</f>
        <v>5002.29</v>
      </c>
      <c r="AH28" s="13">
        <v>185.27</v>
      </c>
      <c r="AI28" s="13">
        <f t="shared" ref="AI28:AI38" si="37">+AH28*AG14</f>
        <v>5002.29</v>
      </c>
      <c r="AK28" s="13">
        <v>185.27</v>
      </c>
      <c r="AL28" s="86">
        <f t="shared" ref="AL28:AL38" si="38">+AK28*AJ14</f>
        <v>5002.29</v>
      </c>
      <c r="AM28" s="101">
        <f t="shared" ref="AM28:AM38" si="39">+AL28+AI28+AF28+AC28+Z28+W28+T28+Q28+N28+K28+H28+E28</f>
        <v>60027.48</v>
      </c>
    </row>
    <row r="29" spans="1:43" ht="15.75" customHeight="1" x14ac:dyDescent="0.2">
      <c r="A29" s="75"/>
      <c r="B29" s="76" t="s">
        <v>492</v>
      </c>
      <c r="C29" s="13"/>
      <c r="D29" s="13">
        <v>369.94</v>
      </c>
      <c r="E29" s="13">
        <f t="shared" si="27"/>
        <v>13811.093333333334</v>
      </c>
      <c r="F29" s="13"/>
      <c r="G29" s="13">
        <v>369.94</v>
      </c>
      <c r="H29" s="13">
        <f t="shared" si="28"/>
        <v>13811.093333333334</v>
      </c>
      <c r="I29" s="13"/>
      <c r="J29" s="13">
        <v>369.94</v>
      </c>
      <c r="K29" s="13">
        <f t="shared" si="29"/>
        <v>13811.093333333334</v>
      </c>
      <c r="L29" s="13"/>
      <c r="M29" s="13">
        <v>369.94</v>
      </c>
      <c r="N29" s="13">
        <f t="shared" si="30"/>
        <v>13811.093333333334</v>
      </c>
      <c r="O29" s="13"/>
      <c r="P29" s="13">
        <v>369.94</v>
      </c>
      <c r="Q29" s="13">
        <f t="shared" si="31"/>
        <v>13811.093333333334</v>
      </c>
      <c r="R29" s="13"/>
      <c r="S29" s="13">
        <v>369.94</v>
      </c>
      <c r="T29" s="13">
        <f t="shared" si="32"/>
        <v>13811.093333333334</v>
      </c>
      <c r="U29" s="13"/>
      <c r="V29" s="13">
        <v>369.94</v>
      </c>
      <c r="W29" s="13">
        <f t="shared" si="33"/>
        <v>13811.093333333334</v>
      </c>
      <c r="X29" s="13"/>
      <c r="Y29" s="13">
        <v>369.94</v>
      </c>
      <c r="Z29" s="13">
        <f t="shared" si="34"/>
        <v>13811.093333333334</v>
      </c>
      <c r="AB29" s="13">
        <v>369.94</v>
      </c>
      <c r="AC29" s="13">
        <f t="shared" si="35"/>
        <v>13811.093333333334</v>
      </c>
      <c r="AE29" s="13">
        <v>369.94</v>
      </c>
      <c r="AF29" s="13">
        <f t="shared" si="36"/>
        <v>13811.093333333334</v>
      </c>
      <c r="AH29" s="13">
        <v>369.94</v>
      </c>
      <c r="AI29" s="13">
        <f t="shared" si="37"/>
        <v>13811.093333333334</v>
      </c>
      <c r="AK29" s="13">
        <v>369.94</v>
      </c>
      <c r="AL29" s="86">
        <f t="shared" si="38"/>
        <v>13811.093333333334</v>
      </c>
      <c r="AM29" s="101">
        <f t="shared" si="39"/>
        <v>165733.12</v>
      </c>
    </row>
    <row r="30" spans="1:43" ht="15.75" customHeight="1" x14ac:dyDescent="0.2">
      <c r="A30" s="75"/>
      <c r="B30" s="76" t="s">
        <v>493</v>
      </c>
      <c r="C30" s="13"/>
      <c r="D30" s="13">
        <v>240.66</v>
      </c>
      <c r="E30" s="13">
        <f t="shared" si="27"/>
        <v>2647.2599999999998</v>
      </c>
      <c r="F30" s="13"/>
      <c r="G30" s="13">
        <v>240.66</v>
      </c>
      <c r="H30" s="13">
        <f t="shared" si="28"/>
        <v>2647.2599999999998</v>
      </c>
      <c r="I30" s="13"/>
      <c r="J30" s="13">
        <v>240.66</v>
      </c>
      <c r="K30" s="13">
        <f t="shared" si="29"/>
        <v>2647.2599999999998</v>
      </c>
      <c r="L30" s="13"/>
      <c r="M30" s="13">
        <v>240.66</v>
      </c>
      <c r="N30" s="13">
        <f t="shared" si="30"/>
        <v>2647.2599999999998</v>
      </c>
      <c r="O30" s="13"/>
      <c r="P30" s="13">
        <v>240.66</v>
      </c>
      <c r="Q30" s="13">
        <f t="shared" si="31"/>
        <v>2647.2599999999998</v>
      </c>
      <c r="R30" s="13"/>
      <c r="S30" s="13">
        <v>240.66</v>
      </c>
      <c r="T30" s="13">
        <f t="shared" si="32"/>
        <v>2647.2599999999998</v>
      </c>
      <c r="U30" s="13"/>
      <c r="V30" s="13">
        <v>240.66</v>
      </c>
      <c r="W30" s="13">
        <f t="shared" si="33"/>
        <v>2647.2599999999998</v>
      </c>
      <c r="X30" s="13"/>
      <c r="Y30" s="13">
        <v>240.66</v>
      </c>
      <c r="Z30" s="13">
        <f t="shared" si="34"/>
        <v>2647.2599999999998</v>
      </c>
      <c r="AB30" s="13">
        <v>240.66</v>
      </c>
      <c r="AC30" s="13">
        <f t="shared" si="35"/>
        <v>2647.2599999999998</v>
      </c>
      <c r="AE30" s="13">
        <v>240.66</v>
      </c>
      <c r="AF30" s="13">
        <f t="shared" si="36"/>
        <v>2647.2599999999998</v>
      </c>
      <c r="AH30" s="13">
        <v>240.66</v>
      </c>
      <c r="AI30" s="13">
        <f t="shared" si="37"/>
        <v>2647.2599999999998</v>
      </c>
      <c r="AK30" s="13">
        <v>240.66</v>
      </c>
      <c r="AL30" s="86">
        <f t="shared" si="38"/>
        <v>2647.2599999999998</v>
      </c>
      <c r="AM30" s="101">
        <f t="shared" si="39"/>
        <v>31767.119999999992</v>
      </c>
    </row>
    <row r="31" spans="1:43" ht="15.75" customHeight="1" x14ac:dyDescent="0.2">
      <c r="A31" s="75"/>
      <c r="B31" s="76" t="s">
        <v>493</v>
      </c>
      <c r="C31" s="13"/>
      <c r="D31" s="13">
        <v>480.72</v>
      </c>
      <c r="E31" s="13">
        <f t="shared" si="27"/>
        <v>6970.4400000000005</v>
      </c>
      <c r="F31" s="13"/>
      <c r="G31" s="13">
        <v>480.72</v>
      </c>
      <c r="H31" s="13">
        <f t="shared" si="28"/>
        <v>6970.4400000000005</v>
      </c>
      <c r="I31" s="13"/>
      <c r="J31" s="13">
        <v>480.72</v>
      </c>
      <c r="K31" s="13">
        <f t="shared" si="29"/>
        <v>6970.4400000000005</v>
      </c>
      <c r="L31" s="13"/>
      <c r="M31" s="13">
        <v>480.72</v>
      </c>
      <c r="N31" s="13">
        <f t="shared" si="30"/>
        <v>6970.4400000000005</v>
      </c>
      <c r="O31" s="13"/>
      <c r="P31" s="13">
        <v>480.72</v>
      </c>
      <c r="Q31" s="13">
        <f t="shared" si="31"/>
        <v>6970.4400000000005</v>
      </c>
      <c r="R31" s="13"/>
      <c r="S31" s="13">
        <v>480.72</v>
      </c>
      <c r="T31" s="13">
        <f t="shared" si="32"/>
        <v>6970.4400000000005</v>
      </c>
      <c r="U31" s="13"/>
      <c r="V31" s="13">
        <v>480.72</v>
      </c>
      <c r="W31" s="13">
        <f t="shared" si="33"/>
        <v>6970.4400000000005</v>
      </c>
      <c r="X31" s="13"/>
      <c r="Y31" s="13">
        <v>480.72</v>
      </c>
      <c r="Z31" s="13">
        <f t="shared" si="34"/>
        <v>6970.4400000000005</v>
      </c>
      <c r="AB31" s="13">
        <v>480.72</v>
      </c>
      <c r="AC31" s="13">
        <f t="shared" si="35"/>
        <v>6970.4400000000005</v>
      </c>
      <c r="AE31" s="13">
        <v>480.72</v>
      </c>
      <c r="AF31" s="13">
        <f t="shared" si="36"/>
        <v>6970.4400000000005</v>
      </c>
      <c r="AH31" s="13">
        <v>480.72</v>
      </c>
      <c r="AI31" s="13">
        <f t="shared" si="37"/>
        <v>6970.4400000000005</v>
      </c>
      <c r="AK31" s="13">
        <v>480.72</v>
      </c>
      <c r="AL31" s="86">
        <f t="shared" si="38"/>
        <v>6970.4400000000005</v>
      </c>
      <c r="AM31" s="101">
        <f t="shared" si="39"/>
        <v>83645.280000000013</v>
      </c>
    </row>
    <row r="32" spans="1:43" ht="15.75" customHeight="1" x14ac:dyDescent="0.2">
      <c r="A32" s="75"/>
      <c r="B32" s="76" t="s">
        <v>494</v>
      </c>
      <c r="C32" s="13"/>
      <c r="D32" s="13">
        <v>182.8</v>
      </c>
      <c r="E32" s="13">
        <f t="shared" si="27"/>
        <v>1569.0333333333335</v>
      </c>
      <c r="F32" s="13"/>
      <c r="G32" s="13">
        <v>182.8</v>
      </c>
      <c r="H32" s="13">
        <f t="shared" si="28"/>
        <v>1569.0333333333335</v>
      </c>
      <c r="I32" s="13"/>
      <c r="J32" s="13">
        <v>182.8</v>
      </c>
      <c r="K32" s="13">
        <f t="shared" si="29"/>
        <v>1569.0333333333335</v>
      </c>
      <c r="L32" s="13"/>
      <c r="M32" s="13">
        <v>182.8</v>
      </c>
      <c r="N32" s="13">
        <f t="shared" si="30"/>
        <v>1569.0333333333335</v>
      </c>
      <c r="O32" s="13"/>
      <c r="P32" s="13">
        <v>182.8</v>
      </c>
      <c r="Q32" s="13">
        <f t="shared" si="31"/>
        <v>1569.0333333333335</v>
      </c>
      <c r="R32" s="13"/>
      <c r="S32" s="13">
        <v>182.8</v>
      </c>
      <c r="T32" s="13">
        <f t="shared" si="32"/>
        <v>1569.0333333333335</v>
      </c>
      <c r="U32" s="13"/>
      <c r="V32" s="13">
        <v>182.8</v>
      </c>
      <c r="W32" s="13">
        <f t="shared" si="33"/>
        <v>1569.0333333333335</v>
      </c>
      <c r="X32" s="13"/>
      <c r="Y32" s="13">
        <v>182.8</v>
      </c>
      <c r="Z32" s="13">
        <f t="shared" si="34"/>
        <v>1569.0333333333335</v>
      </c>
      <c r="AB32" s="13">
        <v>182.8</v>
      </c>
      <c r="AC32" s="13">
        <f t="shared" si="35"/>
        <v>1569.0333333333335</v>
      </c>
      <c r="AE32" s="13">
        <v>182.8</v>
      </c>
      <c r="AF32" s="13">
        <f t="shared" si="36"/>
        <v>1569.0333333333335</v>
      </c>
      <c r="AH32" s="13">
        <v>182.8</v>
      </c>
      <c r="AI32" s="13">
        <f t="shared" si="37"/>
        <v>1569.0333333333335</v>
      </c>
      <c r="AK32" s="13">
        <v>182.8</v>
      </c>
      <c r="AL32" s="86">
        <f t="shared" si="38"/>
        <v>1569.0333333333335</v>
      </c>
      <c r="AM32" s="101">
        <f t="shared" si="39"/>
        <v>18828.399999999998</v>
      </c>
    </row>
    <row r="33" spans="1:39" ht="15.75" customHeight="1" x14ac:dyDescent="0.2">
      <c r="A33" s="75"/>
      <c r="B33" s="76" t="s">
        <v>494</v>
      </c>
      <c r="C33" s="13"/>
      <c r="D33" s="13">
        <v>365</v>
      </c>
      <c r="E33" s="13">
        <f t="shared" si="27"/>
        <v>1551.25</v>
      </c>
      <c r="F33" s="13"/>
      <c r="G33" s="13">
        <v>365</v>
      </c>
      <c r="H33" s="13">
        <f t="shared" si="28"/>
        <v>1551.25</v>
      </c>
      <c r="I33" s="13"/>
      <c r="J33" s="13">
        <v>365</v>
      </c>
      <c r="K33" s="13">
        <f t="shared" si="29"/>
        <v>1551.25</v>
      </c>
      <c r="L33" s="13"/>
      <c r="M33" s="13">
        <v>365</v>
      </c>
      <c r="N33" s="13">
        <f t="shared" si="30"/>
        <v>1551.25</v>
      </c>
      <c r="O33" s="13"/>
      <c r="P33" s="13">
        <v>365</v>
      </c>
      <c r="Q33" s="13">
        <f t="shared" si="31"/>
        <v>1551.25</v>
      </c>
      <c r="R33" s="13"/>
      <c r="S33" s="13">
        <v>365</v>
      </c>
      <c r="T33" s="13">
        <f t="shared" si="32"/>
        <v>1551.25</v>
      </c>
      <c r="U33" s="13"/>
      <c r="V33" s="13">
        <v>365</v>
      </c>
      <c r="W33" s="13">
        <f t="shared" si="33"/>
        <v>1551.25</v>
      </c>
      <c r="X33" s="13"/>
      <c r="Y33" s="13">
        <v>365</v>
      </c>
      <c r="Z33" s="13">
        <f t="shared" si="34"/>
        <v>1551.25</v>
      </c>
      <c r="AB33" s="13">
        <v>365</v>
      </c>
      <c r="AC33" s="13">
        <f t="shared" si="35"/>
        <v>1551.25</v>
      </c>
      <c r="AE33" s="13">
        <v>365</v>
      </c>
      <c r="AF33" s="13">
        <f t="shared" si="36"/>
        <v>1551.25</v>
      </c>
      <c r="AH33" s="13">
        <v>365</v>
      </c>
      <c r="AI33" s="13">
        <f t="shared" si="37"/>
        <v>1551.25</v>
      </c>
      <c r="AK33" s="13">
        <v>365</v>
      </c>
      <c r="AL33" s="86">
        <f t="shared" si="38"/>
        <v>1551.25</v>
      </c>
      <c r="AM33" s="101">
        <f t="shared" si="39"/>
        <v>18615</v>
      </c>
    </row>
    <row r="34" spans="1:39" ht="15.75" customHeight="1" x14ac:dyDescent="0.2">
      <c r="A34" s="75"/>
      <c r="B34" s="76" t="s">
        <v>495</v>
      </c>
      <c r="C34" s="13"/>
      <c r="D34" s="13">
        <v>42.62</v>
      </c>
      <c r="E34" s="13">
        <f t="shared" si="27"/>
        <v>3707.9399999999996</v>
      </c>
      <c r="F34" s="13"/>
      <c r="G34" s="13">
        <v>42.62</v>
      </c>
      <c r="H34" s="13">
        <f t="shared" si="28"/>
        <v>3707.9399999999996</v>
      </c>
      <c r="I34" s="13"/>
      <c r="J34" s="13">
        <v>42.62</v>
      </c>
      <c r="K34" s="13">
        <f t="shared" si="29"/>
        <v>3707.9399999999996</v>
      </c>
      <c r="L34" s="13"/>
      <c r="M34" s="13">
        <v>42.62</v>
      </c>
      <c r="N34" s="13">
        <f t="shared" si="30"/>
        <v>3707.9399999999996</v>
      </c>
      <c r="O34" s="13"/>
      <c r="P34" s="13">
        <v>42.62</v>
      </c>
      <c r="Q34" s="13">
        <f t="shared" si="31"/>
        <v>3707.9399999999996</v>
      </c>
      <c r="R34" s="13"/>
      <c r="S34" s="13">
        <v>42.62</v>
      </c>
      <c r="T34" s="13">
        <f t="shared" si="32"/>
        <v>3707.9399999999996</v>
      </c>
      <c r="U34" s="13"/>
      <c r="V34" s="13">
        <v>42.62</v>
      </c>
      <c r="W34" s="13">
        <f t="shared" si="33"/>
        <v>3707.9399999999996</v>
      </c>
      <c r="X34" s="13"/>
      <c r="Y34" s="13">
        <v>42.62</v>
      </c>
      <c r="Z34" s="13">
        <f t="shared" si="34"/>
        <v>3707.9399999999996</v>
      </c>
      <c r="AB34" s="13">
        <v>42.62</v>
      </c>
      <c r="AC34" s="13">
        <f t="shared" si="35"/>
        <v>3707.9399999999996</v>
      </c>
      <c r="AE34" s="13">
        <v>42.62</v>
      </c>
      <c r="AF34" s="13">
        <f t="shared" si="36"/>
        <v>3707.9399999999996</v>
      </c>
      <c r="AH34" s="13">
        <v>42.62</v>
      </c>
      <c r="AI34" s="13">
        <f t="shared" si="37"/>
        <v>3707.9399999999996</v>
      </c>
      <c r="AK34" s="13">
        <v>42.62</v>
      </c>
      <c r="AL34" s="86">
        <f t="shared" si="38"/>
        <v>3707.9399999999996</v>
      </c>
      <c r="AM34" s="101">
        <f t="shared" si="39"/>
        <v>44495.28</v>
      </c>
    </row>
    <row r="35" spans="1:39" ht="15.75" customHeight="1" x14ac:dyDescent="0.2">
      <c r="A35" s="75"/>
      <c r="B35" s="76" t="s">
        <v>495</v>
      </c>
      <c r="C35" s="13"/>
      <c r="D35" s="13">
        <v>85.04</v>
      </c>
      <c r="E35" s="13">
        <f t="shared" si="27"/>
        <v>1573.24</v>
      </c>
      <c r="F35" s="13"/>
      <c r="G35" s="13">
        <v>85.04</v>
      </c>
      <c r="H35" s="13">
        <f t="shared" si="28"/>
        <v>1573.24</v>
      </c>
      <c r="I35" s="13"/>
      <c r="J35" s="13">
        <v>85.04</v>
      </c>
      <c r="K35" s="13">
        <f t="shared" si="29"/>
        <v>1573.24</v>
      </c>
      <c r="L35" s="13"/>
      <c r="M35" s="13">
        <v>85.04</v>
      </c>
      <c r="N35" s="13">
        <f t="shared" si="30"/>
        <v>1573.24</v>
      </c>
      <c r="O35" s="13"/>
      <c r="P35" s="13">
        <v>85.04</v>
      </c>
      <c r="Q35" s="13">
        <f t="shared" si="31"/>
        <v>1573.24</v>
      </c>
      <c r="R35" s="13"/>
      <c r="S35" s="13">
        <v>85.04</v>
      </c>
      <c r="T35" s="13">
        <f t="shared" si="32"/>
        <v>1573.24</v>
      </c>
      <c r="U35" s="13"/>
      <c r="V35" s="13">
        <v>85.04</v>
      </c>
      <c r="W35" s="13">
        <f t="shared" si="33"/>
        <v>1573.24</v>
      </c>
      <c r="X35" s="13"/>
      <c r="Y35" s="13">
        <v>85.04</v>
      </c>
      <c r="Z35" s="13">
        <f t="shared" si="34"/>
        <v>1573.24</v>
      </c>
      <c r="AB35" s="13">
        <v>85.04</v>
      </c>
      <c r="AC35" s="13">
        <f t="shared" si="35"/>
        <v>1573.24</v>
      </c>
      <c r="AE35" s="13">
        <v>85.04</v>
      </c>
      <c r="AF35" s="13">
        <f t="shared" si="36"/>
        <v>1573.24</v>
      </c>
      <c r="AH35" s="13">
        <v>85.04</v>
      </c>
      <c r="AI35" s="13">
        <f t="shared" si="37"/>
        <v>1573.24</v>
      </c>
      <c r="AK35" s="13">
        <v>85.04</v>
      </c>
      <c r="AL35" s="86">
        <f t="shared" si="38"/>
        <v>1573.24</v>
      </c>
      <c r="AM35" s="101">
        <f t="shared" si="39"/>
        <v>18878.88</v>
      </c>
    </row>
    <row r="36" spans="1:39" ht="15.75" customHeight="1" x14ac:dyDescent="0.2">
      <c r="A36" s="75"/>
      <c r="B36" s="76" t="s">
        <v>424</v>
      </c>
      <c r="C36" s="13"/>
      <c r="D36" s="13">
        <v>68.935000000000002</v>
      </c>
      <c r="E36" s="13">
        <f t="shared" si="27"/>
        <v>114.89166666666668</v>
      </c>
      <c r="F36" s="13"/>
      <c r="G36" s="13">
        <v>68.935000000000002</v>
      </c>
      <c r="H36" s="13">
        <f t="shared" si="28"/>
        <v>114.89166666666668</v>
      </c>
      <c r="I36" s="13"/>
      <c r="J36" s="13">
        <v>68.935000000000002</v>
      </c>
      <c r="K36" s="13">
        <f t="shared" si="29"/>
        <v>114.89166666666668</v>
      </c>
      <c r="L36" s="13"/>
      <c r="M36" s="13">
        <v>68.935000000000002</v>
      </c>
      <c r="N36" s="13">
        <f t="shared" si="30"/>
        <v>114.89166666666668</v>
      </c>
      <c r="O36" s="13"/>
      <c r="P36" s="13">
        <v>68.935000000000002</v>
      </c>
      <c r="Q36" s="13">
        <f t="shared" si="31"/>
        <v>114.89166666666668</v>
      </c>
      <c r="R36" s="13"/>
      <c r="S36" s="13">
        <v>68.935000000000002</v>
      </c>
      <c r="T36" s="13">
        <f t="shared" si="32"/>
        <v>114.89166666666668</v>
      </c>
      <c r="U36" s="13"/>
      <c r="V36" s="13">
        <v>68.935000000000002</v>
      </c>
      <c r="W36" s="13">
        <f t="shared" si="33"/>
        <v>114.89166666666668</v>
      </c>
      <c r="X36" s="13"/>
      <c r="Y36" s="13">
        <v>68.935000000000002</v>
      </c>
      <c r="Z36" s="13">
        <f t="shared" si="34"/>
        <v>114.89166666666668</v>
      </c>
      <c r="AB36" s="13">
        <v>68.935000000000002</v>
      </c>
      <c r="AC36" s="13">
        <f t="shared" si="35"/>
        <v>114.89166666666668</v>
      </c>
      <c r="AE36" s="13">
        <v>68.935000000000002</v>
      </c>
      <c r="AF36" s="13">
        <f t="shared" si="36"/>
        <v>114.89166666666668</v>
      </c>
      <c r="AH36" s="13">
        <v>68.935000000000002</v>
      </c>
      <c r="AI36" s="13">
        <f t="shared" si="37"/>
        <v>114.89166666666668</v>
      </c>
      <c r="AK36" s="13">
        <v>68.935000000000002</v>
      </c>
      <c r="AL36" s="86">
        <f t="shared" si="38"/>
        <v>114.89166666666668</v>
      </c>
      <c r="AM36" s="101">
        <f t="shared" si="39"/>
        <v>1378.7</v>
      </c>
    </row>
    <row r="37" spans="1:39" ht="15.75" customHeight="1" x14ac:dyDescent="0.2">
      <c r="A37" s="75"/>
      <c r="B37" s="76" t="s">
        <v>424</v>
      </c>
      <c r="C37" s="13"/>
      <c r="D37" s="13">
        <v>137.66999999999999</v>
      </c>
      <c r="E37" s="13">
        <f t="shared" si="27"/>
        <v>573.625</v>
      </c>
      <c r="F37" s="13"/>
      <c r="G37" s="13">
        <v>137.66999999999999</v>
      </c>
      <c r="H37" s="13">
        <f t="shared" si="28"/>
        <v>573.625</v>
      </c>
      <c r="I37" s="13"/>
      <c r="J37" s="13">
        <v>137.66999999999999</v>
      </c>
      <c r="K37" s="13">
        <f t="shared" si="29"/>
        <v>573.625</v>
      </c>
      <c r="L37" s="13"/>
      <c r="M37" s="13">
        <v>137.66999999999999</v>
      </c>
      <c r="N37" s="13">
        <f t="shared" si="30"/>
        <v>573.625</v>
      </c>
      <c r="O37" s="13"/>
      <c r="P37" s="13">
        <v>137.66999999999999</v>
      </c>
      <c r="Q37" s="13">
        <f t="shared" si="31"/>
        <v>573.625</v>
      </c>
      <c r="R37" s="13"/>
      <c r="S37" s="13">
        <v>137.66999999999999</v>
      </c>
      <c r="T37" s="13">
        <f t="shared" si="32"/>
        <v>573.625</v>
      </c>
      <c r="U37" s="13"/>
      <c r="V37" s="13">
        <v>137.66999999999999</v>
      </c>
      <c r="W37" s="13">
        <f t="shared" si="33"/>
        <v>573.625</v>
      </c>
      <c r="X37" s="13"/>
      <c r="Y37" s="13">
        <v>137.66999999999999</v>
      </c>
      <c r="Z37" s="13">
        <f t="shared" si="34"/>
        <v>573.625</v>
      </c>
      <c r="AB37" s="13">
        <v>137.66999999999999</v>
      </c>
      <c r="AC37" s="13">
        <f t="shared" si="35"/>
        <v>573.625</v>
      </c>
      <c r="AE37" s="13">
        <v>137.66999999999999</v>
      </c>
      <c r="AF37" s="13">
        <f t="shared" si="36"/>
        <v>573.625</v>
      </c>
      <c r="AH37" s="13">
        <v>137.66999999999999</v>
      </c>
      <c r="AI37" s="13">
        <f t="shared" si="37"/>
        <v>573.625</v>
      </c>
      <c r="AK37" s="13">
        <v>137.66999999999999</v>
      </c>
      <c r="AL37" s="86">
        <f t="shared" si="38"/>
        <v>573.625</v>
      </c>
      <c r="AM37" s="101">
        <f t="shared" si="39"/>
        <v>6883.5</v>
      </c>
    </row>
    <row r="38" spans="1:39" ht="15.75" customHeight="1" x14ac:dyDescent="0.2">
      <c r="A38" s="75"/>
      <c r="B38" s="76" t="s">
        <v>496</v>
      </c>
      <c r="C38" s="13"/>
      <c r="D38" s="13">
        <v>136.43</v>
      </c>
      <c r="E38" s="13">
        <f t="shared" si="27"/>
        <v>625.30416666666667</v>
      </c>
      <c r="F38" s="13"/>
      <c r="G38" s="13">
        <v>136.43</v>
      </c>
      <c r="H38" s="13">
        <f t="shared" si="28"/>
        <v>625.30416666666667</v>
      </c>
      <c r="I38" s="13"/>
      <c r="J38" s="13">
        <v>136.43</v>
      </c>
      <c r="K38" s="13">
        <f t="shared" si="29"/>
        <v>625.30416666666667</v>
      </c>
      <c r="L38" s="13"/>
      <c r="M38" s="13">
        <v>136.43</v>
      </c>
      <c r="N38" s="13">
        <f t="shared" si="30"/>
        <v>625.30416666666667</v>
      </c>
      <c r="O38" s="13"/>
      <c r="P38" s="13">
        <v>136.43</v>
      </c>
      <c r="Q38" s="13">
        <f t="shared" si="31"/>
        <v>625.30416666666667</v>
      </c>
      <c r="R38" s="13"/>
      <c r="S38" s="13">
        <v>136.43</v>
      </c>
      <c r="T38" s="13">
        <f t="shared" si="32"/>
        <v>625.30416666666667</v>
      </c>
      <c r="U38" s="13"/>
      <c r="V38" s="13">
        <v>136.43</v>
      </c>
      <c r="W38" s="13">
        <f t="shared" si="33"/>
        <v>625.30416666666667</v>
      </c>
      <c r="X38" s="13"/>
      <c r="Y38" s="13">
        <v>136.43</v>
      </c>
      <c r="Z38" s="13">
        <f t="shared" si="34"/>
        <v>625.30416666666667</v>
      </c>
      <c r="AB38" s="13">
        <v>136.43</v>
      </c>
      <c r="AC38" s="13">
        <f t="shared" si="35"/>
        <v>625.30416666666667</v>
      </c>
      <c r="AE38" s="13">
        <v>136.43</v>
      </c>
      <c r="AF38" s="13">
        <f t="shared" si="36"/>
        <v>625.30416666666667</v>
      </c>
      <c r="AH38" s="13">
        <v>136.43</v>
      </c>
      <c r="AI38" s="13">
        <f t="shared" si="37"/>
        <v>625.30416666666667</v>
      </c>
      <c r="AK38" s="13">
        <v>136.43</v>
      </c>
      <c r="AL38" s="86">
        <f t="shared" si="38"/>
        <v>625.30416666666667</v>
      </c>
      <c r="AM38" s="101">
        <f t="shared" si="39"/>
        <v>7503.6500000000005</v>
      </c>
    </row>
    <row r="40" spans="1:39" ht="15" customHeight="1" x14ac:dyDescent="0.2">
      <c r="A40" s="178" t="s">
        <v>581</v>
      </c>
    </row>
    <row r="41" spans="1:39" ht="15" customHeight="1" x14ac:dyDescent="0.2">
      <c r="A41" s="171" t="s">
        <v>582</v>
      </c>
      <c r="B41" s="177">
        <v>0.15</v>
      </c>
      <c r="C41">
        <f>E26*0.4*0.15</f>
        <v>4690.7500000000009</v>
      </c>
    </row>
    <row r="44" spans="1:39" ht="15.75" customHeight="1" x14ac:dyDescent="0.2">
      <c r="A44" s="83"/>
      <c r="B44" s="8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L44" s="94"/>
      <c r="AM44" s="100"/>
    </row>
    <row r="45" spans="1:39" ht="15.75" customHeight="1" x14ac:dyDescent="0.2">
      <c r="A45" s="82" t="s">
        <v>520</v>
      </c>
      <c r="B45" s="82"/>
      <c r="C45" s="13"/>
      <c r="D45" s="13"/>
      <c r="E45" s="83">
        <f>+E26-E27-C41</f>
        <v>35342.049166666664</v>
      </c>
      <c r="F45" s="83"/>
      <c r="G45" s="83"/>
      <c r="H45" s="179">
        <v>35342.050000000003</v>
      </c>
      <c r="I45" s="83"/>
      <c r="J45" s="83"/>
      <c r="K45" s="179">
        <v>35342.050000000003</v>
      </c>
      <c r="L45" s="83"/>
      <c r="M45" s="83"/>
      <c r="N45" s="179">
        <v>35342.050000000003</v>
      </c>
      <c r="O45" s="83"/>
      <c r="P45" s="83"/>
      <c r="Q45" s="179">
        <v>35342.050000000003</v>
      </c>
      <c r="R45" s="83"/>
      <c r="S45" s="83"/>
      <c r="T45" s="179">
        <v>35342.050000000003</v>
      </c>
      <c r="U45" s="83"/>
      <c r="V45" s="83"/>
      <c r="W45" s="179">
        <v>35342.050000000003</v>
      </c>
      <c r="X45" s="83"/>
      <c r="Y45" s="83"/>
      <c r="Z45" s="179">
        <v>35342.050000000003</v>
      </c>
      <c r="AA45" s="88"/>
      <c r="AB45" s="88"/>
      <c r="AC45" s="179">
        <v>35342.050000000003</v>
      </c>
      <c r="AD45" s="88"/>
      <c r="AE45" s="88"/>
      <c r="AF45" s="179">
        <v>35342.050000000003</v>
      </c>
      <c r="AG45" s="88"/>
      <c r="AH45" s="88"/>
      <c r="AI45" s="179">
        <v>35342.050000000003</v>
      </c>
      <c r="AJ45" s="88"/>
      <c r="AK45" s="88"/>
      <c r="AL45" s="179">
        <v>35342.050000000003</v>
      </c>
      <c r="AM45" s="101">
        <f>E45+H45+K45+N45+Q45+T45+W45+Z45+AC45+AF45+AI45+AL45</f>
        <v>424104.59916666656</v>
      </c>
    </row>
    <row r="46" spans="1:39" ht="15.75" customHeight="1" x14ac:dyDescent="0.2">
      <c r="A46" s="83"/>
      <c r="B46" s="8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L46" s="94"/>
      <c r="AM46" s="100"/>
    </row>
    <row r="47" spans="1:39" ht="15.75" customHeight="1" x14ac:dyDescent="0.2">
      <c r="A47" s="84" t="s">
        <v>521</v>
      </c>
      <c r="B47" s="84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91"/>
      <c r="AB47" s="91"/>
      <c r="AC47" s="91"/>
      <c r="AD47" s="91"/>
      <c r="AE47" s="91"/>
      <c r="AF47" s="91"/>
      <c r="AG47" s="91"/>
      <c r="AH47" s="91"/>
      <c r="AI47" s="91"/>
      <c r="AJ47" s="91"/>
      <c r="AK47" s="91"/>
      <c r="AL47" s="96"/>
      <c r="AM47" s="102"/>
    </row>
    <row r="48" spans="1:39" ht="15.75" customHeight="1" x14ac:dyDescent="0.2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L48" s="94"/>
      <c r="AM48" s="100"/>
    </row>
    <row r="49" spans="1:39" ht="15.75" customHeight="1" x14ac:dyDescent="0.2">
      <c r="A49" s="13"/>
      <c r="B49" s="78" t="s">
        <v>484</v>
      </c>
      <c r="C49" s="86"/>
      <c r="D49" s="86"/>
      <c r="E49" s="86">
        <v>7700</v>
      </c>
      <c r="F49" s="86"/>
      <c r="G49" s="86"/>
      <c r="H49" s="86">
        <v>7700</v>
      </c>
      <c r="I49" s="86"/>
      <c r="J49" s="86"/>
      <c r="K49" s="86">
        <v>7700</v>
      </c>
      <c r="L49" s="13"/>
      <c r="M49" s="13"/>
      <c r="N49" s="13">
        <v>7700</v>
      </c>
      <c r="O49" s="13"/>
      <c r="P49" s="13"/>
      <c r="Q49" s="13">
        <v>7700</v>
      </c>
      <c r="R49" s="13"/>
      <c r="S49" s="13"/>
      <c r="T49" s="13">
        <v>7700</v>
      </c>
      <c r="U49" s="13"/>
      <c r="V49" s="13"/>
      <c r="W49" s="13">
        <v>7700</v>
      </c>
      <c r="X49" s="13"/>
      <c r="Y49" s="13"/>
      <c r="Z49" s="13">
        <v>7700</v>
      </c>
      <c r="AC49" s="13">
        <v>7700</v>
      </c>
      <c r="AF49" s="13">
        <v>7700</v>
      </c>
      <c r="AI49" s="13">
        <v>7700</v>
      </c>
      <c r="AL49" s="86">
        <v>7700</v>
      </c>
      <c r="AM49" s="101">
        <f t="shared" ref="AM49:AM51" si="40">+AL49+AI49+AF49+AC49+Z49+W49+T49+Q49+N49+K49+H49+E49</f>
        <v>92400</v>
      </c>
    </row>
    <row r="50" spans="1:39" ht="15.75" customHeight="1" x14ac:dyDescent="0.2">
      <c r="A50" s="13"/>
      <c r="B50" s="78" t="s">
        <v>485</v>
      </c>
      <c r="C50" s="86"/>
      <c r="D50" s="86"/>
      <c r="E50" s="86">
        <v>0</v>
      </c>
      <c r="F50" s="86"/>
      <c r="G50" s="86"/>
      <c r="H50" s="86">
        <v>0</v>
      </c>
      <c r="I50" s="86"/>
      <c r="J50" s="86"/>
      <c r="K50" s="86">
        <v>0</v>
      </c>
      <c r="L50" s="13"/>
      <c r="M50" s="13"/>
      <c r="N50" s="13">
        <v>0</v>
      </c>
      <c r="O50" s="13"/>
      <c r="P50" s="13"/>
      <c r="Q50" s="13">
        <v>0</v>
      </c>
      <c r="R50" s="13"/>
      <c r="S50" s="13"/>
      <c r="T50" s="13">
        <v>0</v>
      </c>
      <c r="U50" s="13"/>
      <c r="V50" s="13"/>
      <c r="W50" s="13">
        <v>0</v>
      </c>
      <c r="X50" s="13"/>
      <c r="Y50" s="13"/>
      <c r="Z50" s="13">
        <v>0</v>
      </c>
      <c r="AC50" s="13">
        <v>0</v>
      </c>
      <c r="AF50" s="13">
        <v>0</v>
      </c>
      <c r="AI50" s="13">
        <v>0</v>
      </c>
      <c r="AL50" s="86">
        <v>0</v>
      </c>
      <c r="AM50" s="101">
        <f t="shared" si="40"/>
        <v>0</v>
      </c>
    </row>
    <row r="51" spans="1:39" ht="15.75" customHeight="1" x14ac:dyDescent="0.2">
      <c r="A51" s="13"/>
      <c r="B51" s="78" t="s">
        <v>486</v>
      </c>
      <c r="C51" s="86"/>
      <c r="D51" s="86"/>
      <c r="E51" s="86">
        <v>2000</v>
      </c>
      <c r="F51" s="86"/>
      <c r="G51" s="86"/>
      <c r="H51" s="86">
        <v>2000</v>
      </c>
      <c r="I51" s="86"/>
      <c r="J51" s="86"/>
      <c r="K51" s="86">
        <v>2000</v>
      </c>
      <c r="L51" s="13"/>
      <c r="M51" s="13"/>
      <c r="N51" s="13">
        <v>2000</v>
      </c>
      <c r="O51" s="13"/>
      <c r="P51" s="13"/>
      <c r="Q51" s="13">
        <v>2000</v>
      </c>
      <c r="R51" s="13"/>
      <c r="S51" s="13"/>
      <c r="T51" s="13">
        <v>2000</v>
      </c>
      <c r="U51" s="13"/>
      <c r="V51" s="13"/>
      <c r="W51" s="13">
        <v>2000</v>
      </c>
      <c r="X51" s="13"/>
      <c r="Y51" s="13"/>
      <c r="Z51" s="13">
        <v>2000</v>
      </c>
      <c r="AC51" s="13">
        <v>2000</v>
      </c>
      <c r="AF51" s="13">
        <v>2000</v>
      </c>
      <c r="AI51" s="13">
        <v>2000</v>
      </c>
      <c r="AL51" s="86">
        <v>2000</v>
      </c>
      <c r="AM51" s="101">
        <f t="shared" si="40"/>
        <v>24000</v>
      </c>
    </row>
    <row r="52" spans="1:39" ht="15.75" customHeight="1" x14ac:dyDescent="0.2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L52" s="94"/>
      <c r="AM52" s="103"/>
    </row>
    <row r="53" spans="1:39" ht="15.75" customHeight="1" x14ac:dyDescent="0.2">
      <c r="A53" s="13"/>
      <c r="B53" s="84" t="s">
        <v>522</v>
      </c>
      <c r="C53" s="13"/>
      <c r="D53" s="13"/>
      <c r="E53" s="13">
        <f>SUM(E49:E52)</f>
        <v>9700</v>
      </c>
      <c r="F53" s="13"/>
      <c r="G53" s="13"/>
      <c r="H53" s="13">
        <f>SUM(H49:H52)</f>
        <v>9700</v>
      </c>
      <c r="I53" s="13"/>
      <c r="J53" s="13"/>
      <c r="K53" s="13">
        <f>SUM(K49:K52)</f>
        <v>9700</v>
      </c>
      <c r="L53" s="13"/>
      <c r="M53" s="13"/>
      <c r="N53" s="13">
        <f>SUM(N49:N52)</f>
        <v>9700</v>
      </c>
      <c r="O53" s="13"/>
      <c r="P53" s="13"/>
      <c r="Q53" s="13">
        <f>SUM(Q49:Q52)</f>
        <v>9700</v>
      </c>
      <c r="R53" s="13"/>
      <c r="S53" s="13"/>
      <c r="T53" s="13">
        <f>SUM(T49:T52)</f>
        <v>9700</v>
      </c>
      <c r="U53" s="13"/>
      <c r="V53" s="13"/>
      <c r="W53" s="13">
        <f>SUM(W49:W52)</f>
        <v>9700</v>
      </c>
      <c r="X53" s="13"/>
      <c r="Y53" s="13"/>
      <c r="Z53" s="13">
        <f>SUM(Z49:Z52)</f>
        <v>9700</v>
      </c>
      <c r="AC53" s="13">
        <f>SUM(AC49:AC52)</f>
        <v>9700</v>
      </c>
      <c r="AF53" s="13">
        <f>SUM(AF49:AF52)</f>
        <v>9700</v>
      </c>
      <c r="AI53" s="13">
        <f>SUM(AI49:AI52)</f>
        <v>9700</v>
      </c>
      <c r="AL53" s="86">
        <f>SUM(AL49:AL52)</f>
        <v>9700</v>
      </c>
      <c r="AM53" s="101">
        <f t="shared" ref="AM53:AM57" si="41">+AL53+AI53+AF53+AC53+Z53+W53+T53+Q53+N53+K53+H53+E53</f>
        <v>116400</v>
      </c>
    </row>
    <row r="54" spans="1:39" ht="15.75" customHeight="1" x14ac:dyDescent="0.2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L54" s="94"/>
      <c r="AM54" s="103"/>
    </row>
    <row r="55" spans="1:39" ht="15.75" customHeight="1" x14ac:dyDescent="0.2">
      <c r="A55" s="85" t="s">
        <v>559</v>
      </c>
      <c r="B55" s="77"/>
      <c r="C55" s="13"/>
      <c r="D55" s="13"/>
      <c r="E55" s="83">
        <f>+E45-E53</f>
        <v>25642.049166666664</v>
      </c>
      <c r="F55" s="13"/>
      <c r="G55" s="13"/>
      <c r="H55" s="151">
        <f>H45-H53</f>
        <v>25642.050000000003</v>
      </c>
      <c r="I55" s="13"/>
      <c r="J55" s="13"/>
      <c r="K55" s="83">
        <f>K45-K53</f>
        <v>25642.050000000003</v>
      </c>
      <c r="L55" s="13"/>
      <c r="M55" s="13"/>
      <c r="N55" s="83">
        <f>N45-N53</f>
        <v>25642.050000000003</v>
      </c>
      <c r="O55" s="13"/>
      <c r="P55" s="13"/>
      <c r="Q55" s="83">
        <f>Q45-Q53</f>
        <v>25642.050000000003</v>
      </c>
      <c r="R55" s="13"/>
      <c r="S55" s="13"/>
      <c r="T55" s="83">
        <f>T45-T53</f>
        <v>25642.050000000003</v>
      </c>
      <c r="U55" s="13"/>
      <c r="V55" s="13"/>
      <c r="W55" s="83">
        <f>W45-W53</f>
        <v>25642.050000000003</v>
      </c>
      <c r="X55" s="13"/>
      <c r="Y55" s="13"/>
      <c r="Z55" s="13">
        <f>Z45-Z53</f>
        <v>25642.050000000003</v>
      </c>
      <c r="AC55" s="13">
        <f>AC45-AC53</f>
        <v>25642.050000000003</v>
      </c>
      <c r="AF55" s="13">
        <f>AF45-AF53</f>
        <v>25642.050000000003</v>
      </c>
      <c r="AI55" s="13">
        <f>AI45-AI53</f>
        <v>25642.050000000003</v>
      </c>
      <c r="AL55" s="86">
        <f>AL45-AL53</f>
        <v>25642.050000000003</v>
      </c>
      <c r="AM55" s="101">
        <f t="shared" si="41"/>
        <v>307704.59916666662</v>
      </c>
    </row>
    <row r="56" spans="1:39" ht="15.75" customHeight="1" x14ac:dyDescent="0.2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L56" s="94"/>
      <c r="AM56" s="100"/>
    </row>
    <row r="57" spans="1:39" ht="15.75" customHeight="1" x14ac:dyDescent="0.2">
      <c r="A57" s="13"/>
      <c r="B57" s="151" t="s">
        <v>583</v>
      </c>
      <c r="C57" s="13"/>
      <c r="D57" s="13"/>
      <c r="E57" s="13">
        <v>0</v>
      </c>
      <c r="F57" s="13"/>
      <c r="G57" s="13"/>
      <c r="H57" s="13">
        <v>0</v>
      </c>
      <c r="I57" s="13"/>
      <c r="J57" s="13"/>
      <c r="K57" s="13">
        <v>0</v>
      </c>
      <c r="L57" s="13"/>
      <c r="M57" s="13"/>
      <c r="N57" s="13">
        <v>0</v>
      </c>
      <c r="O57" s="13"/>
      <c r="P57" s="13"/>
      <c r="Q57" s="13">
        <v>0</v>
      </c>
      <c r="R57" s="13"/>
      <c r="S57" s="13"/>
      <c r="T57" s="13">
        <v>0</v>
      </c>
      <c r="U57" s="13"/>
      <c r="V57" s="13"/>
      <c r="W57" s="13">
        <v>0</v>
      </c>
      <c r="X57" s="13"/>
      <c r="Y57" s="13"/>
      <c r="Z57" s="13">
        <v>0</v>
      </c>
      <c r="AC57">
        <v>0</v>
      </c>
      <c r="AF57">
        <v>0</v>
      </c>
      <c r="AI57">
        <v>0</v>
      </c>
      <c r="AL57">
        <v>0</v>
      </c>
      <c r="AM57" s="101">
        <f t="shared" si="41"/>
        <v>0</v>
      </c>
    </row>
    <row r="58" spans="1:39" ht="15.75" customHeight="1" x14ac:dyDescent="0.2">
      <c r="A58" s="82" t="s">
        <v>579</v>
      </c>
      <c r="B58" s="82"/>
      <c r="C58" s="13"/>
      <c r="D58" s="13"/>
      <c r="E58" s="83">
        <f>+E26*0.04</f>
        <v>3127.166666666667</v>
      </c>
      <c r="F58" s="83"/>
      <c r="G58" s="83"/>
      <c r="H58" s="83">
        <f>H26*0.04</f>
        <v>3127.166666666667</v>
      </c>
      <c r="I58" s="83"/>
      <c r="J58" s="83"/>
      <c r="K58" s="83">
        <f>+K26*0.04</f>
        <v>3127.166666666667</v>
      </c>
      <c r="L58" s="83"/>
      <c r="M58" s="83"/>
      <c r="N58" s="83">
        <f>+N26*0.04</f>
        <v>3127.166666666667</v>
      </c>
      <c r="O58" s="83"/>
      <c r="P58" s="83"/>
      <c r="Q58" s="83">
        <f>+Q26*0.04</f>
        <v>3127.166666666667</v>
      </c>
      <c r="R58" s="83"/>
      <c r="S58" s="83"/>
      <c r="T58" s="83">
        <f>T26*0.04</f>
        <v>3127.166666666667</v>
      </c>
      <c r="U58" s="83"/>
      <c r="V58" s="83"/>
      <c r="W58" s="83">
        <f>+W26*0.04</f>
        <v>3127.166666666667</v>
      </c>
      <c r="X58" s="83"/>
      <c r="Y58" s="83"/>
      <c r="Z58" s="83">
        <f>+Z26*0.04</f>
        <v>3127.166666666667</v>
      </c>
      <c r="AA58" s="88"/>
      <c r="AB58" s="88"/>
      <c r="AC58" s="83">
        <f>+AC26*0.04</f>
        <v>3127.166666666667</v>
      </c>
      <c r="AD58" s="88"/>
      <c r="AE58" s="88"/>
      <c r="AF58" s="83">
        <f>+AF26*0.04</f>
        <v>3127.166666666667</v>
      </c>
      <c r="AG58" s="88"/>
      <c r="AH58" s="88"/>
      <c r="AI58" s="83">
        <f>+AI26*0.04</f>
        <v>3127.166666666667</v>
      </c>
      <c r="AJ58" s="88"/>
      <c r="AK58" s="88"/>
      <c r="AL58" s="95">
        <f>+AL26*0.04</f>
        <v>3127.166666666667</v>
      </c>
      <c r="AM58" s="101">
        <f>AL58+AI58+AF58+AC58+Z58+W58+T58+Q58+N58+K58+H58+E58</f>
        <v>37526.000000000007</v>
      </c>
    </row>
    <row r="59" spans="1:39" ht="15.75" customHeight="1" x14ac:dyDescent="0.2">
      <c r="A59" s="152" t="s">
        <v>580</v>
      </c>
      <c r="B59" s="153"/>
      <c r="C59" s="13"/>
      <c r="D59" s="13"/>
      <c r="E59" s="13">
        <f>+E55-E58</f>
        <v>22514.882499999996</v>
      </c>
      <c r="F59" s="13"/>
      <c r="G59" s="13"/>
      <c r="H59" s="13">
        <f>+H55-H58</f>
        <v>22514.883333333335</v>
      </c>
      <c r="I59" s="13"/>
      <c r="J59" s="13"/>
      <c r="K59" s="13">
        <f>+K55-K58</f>
        <v>22514.883333333335</v>
      </c>
      <c r="L59" s="13"/>
      <c r="M59" s="13"/>
      <c r="N59" s="13">
        <f>+N55-N58</f>
        <v>22514.883333333335</v>
      </c>
      <c r="O59" s="13"/>
      <c r="P59" s="13"/>
      <c r="Q59" s="13">
        <f>+Q55-Q58</f>
        <v>22514.883333333335</v>
      </c>
      <c r="R59" s="13"/>
      <c r="S59" s="13"/>
      <c r="T59" s="13">
        <f>+T55-T58</f>
        <v>22514.883333333335</v>
      </c>
      <c r="U59" s="13"/>
      <c r="V59" s="13"/>
      <c r="W59" s="13">
        <f>+W55-W58</f>
        <v>22514.883333333335</v>
      </c>
      <c r="X59" s="13"/>
      <c r="Y59" s="13"/>
      <c r="Z59" s="13">
        <f>+Z55-Z58</f>
        <v>22514.883333333335</v>
      </c>
      <c r="AC59" s="13">
        <f>+AC55-AC58</f>
        <v>22514.883333333335</v>
      </c>
      <c r="AF59" s="13">
        <f>+AF55-AF58</f>
        <v>22514.883333333335</v>
      </c>
      <c r="AI59" s="13">
        <f>+AI55-AI58</f>
        <v>22514.883333333335</v>
      </c>
      <c r="AL59" s="13">
        <f>+AL55-AL58</f>
        <v>22514.883333333335</v>
      </c>
      <c r="AM59" s="101">
        <f>+AL59+AI59+AF59+AC59+Z59+W59+T59+Q59+N59+K59+H59+E59</f>
        <v>270178.59916666668</v>
      </c>
    </row>
    <row r="60" spans="1:39" ht="15.75" customHeight="1" x14ac:dyDescent="0.2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  <c r="Z60" s="13"/>
    </row>
    <row r="61" spans="1:39" ht="15.75" customHeight="1" x14ac:dyDescent="0.2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</row>
    <row r="62" spans="1:39" ht="15.75" customHeight="1" x14ac:dyDescent="0.2">
      <c r="A62" s="155" t="s">
        <v>563</v>
      </c>
      <c r="B62" s="63"/>
      <c r="C62" s="63">
        <v>143497.48000000001</v>
      </c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</row>
    <row r="63" spans="1:39" ht="15.75" customHeight="1" x14ac:dyDescent="0.2">
      <c r="A63" s="155" t="s">
        <v>566</v>
      </c>
      <c r="B63" s="63"/>
      <c r="C63" s="63">
        <v>193497.49</v>
      </c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</row>
    <row r="64" spans="1:39" ht="15.75" customHeight="1" x14ac:dyDescent="0.2">
      <c r="A64" s="151" t="s">
        <v>542</v>
      </c>
      <c r="B64" s="151" t="s">
        <v>564</v>
      </c>
      <c r="C64" s="13"/>
      <c r="D64" s="13"/>
      <c r="E64" s="154">
        <f>+E59/$C$62</f>
        <v>0.15690089122122558</v>
      </c>
      <c r="F64" s="13"/>
      <c r="G64" s="13"/>
      <c r="H64" s="154">
        <f>+H59/$C$62</f>
        <v>0.15690089702852855</v>
      </c>
      <c r="I64" s="13"/>
      <c r="J64" s="13"/>
      <c r="K64" s="154">
        <f>+K59/$C$62</f>
        <v>0.15690089702852855</v>
      </c>
      <c r="L64" s="13"/>
      <c r="M64" s="13"/>
      <c r="N64" s="154">
        <f>+N59/$C$62</f>
        <v>0.15690089702852855</v>
      </c>
      <c r="O64" s="13"/>
      <c r="P64" s="13"/>
      <c r="Q64" s="154">
        <f>+Q59/$C$62</f>
        <v>0.15690089702852855</v>
      </c>
      <c r="R64" s="13"/>
      <c r="S64" s="13"/>
      <c r="T64" s="154">
        <f>+T59/$C$62</f>
        <v>0.15690089702852855</v>
      </c>
      <c r="U64" s="13"/>
      <c r="V64" s="13"/>
      <c r="W64" s="154">
        <f>+W59/$C$62</f>
        <v>0.15690089702852855</v>
      </c>
      <c r="X64" s="13"/>
      <c r="Y64" s="13"/>
      <c r="Z64" s="154">
        <f>+Z59/$C$62</f>
        <v>0.15690089702852855</v>
      </c>
      <c r="AC64" s="154">
        <f>+AC59/$C$62</f>
        <v>0.15690089702852855</v>
      </c>
      <c r="AF64" s="154">
        <f>AF59/$C$62</f>
        <v>0.15690089702852855</v>
      </c>
      <c r="AI64" s="154">
        <f>+AI59/$C$62</f>
        <v>0.15690089702852855</v>
      </c>
      <c r="AL64" s="154">
        <f>+AL59/$C$62</f>
        <v>0.15690089702852855</v>
      </c>
      <c r="AM64" s="156">
        <f>+AM59/C62</f>
        <v>1.8828107585350395</v>
      </c>
    </row>
    <row r="65" spans="1:39" ht="15.75" customHeight="1" x14ac:dyDescent="0.2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M65" s="157"/>
    </row>
    <row r="66" spans="1:39" ht="15.75" customHeight="1" x14ac:dyDescent="0.2">
      <c r="A66" s="151" t="s">
        <v>565</v>
      </c>
      <c r="B66" s="151" t="s">
        <v>567</v>
      </c>
      <c r="C66" s="13"/>
      <c r="D66" s="13"/>
      <c r="E66" s="154">
        <f>+E59/$C$63</f>
        <v>0.11635749125221209</v>
      </c>
      <c r="F66" s="154"/>
      <c r="G66" s="154"/>
      <c r="H66" s="154">
        <f>+H59/$C$63</f>
        <v>0.1163574955589002</v>
      </c>
      <c r="I66" s="154"/>
      <c r="J66" s="154"/>
      <c r="K66" s="154">
        <f>+K59/$C$63</f>
        <v>0.1163574955589002</v>
      </c>
      <c r="L66" s="154"/>
      <c r="M66" s="154"/>
      <c r="N66" s="154">
        <f>+N59/$C$63</f>
        <v>0.1163574955589002</v>
      </c>
      <c r="O66" s="154"/>
      <c r="P66" s="154"/>
      <c r="Q66" s="154">
        <f>+Q59/$C$63</f>
        <v>0.1163574955589002</v>
      </c>
      <c r="R66" s="154"/>
      <c r="S66" s="154"/>
      <c r="T66" s="154">
        <f>+T59/$C$63</f>
        <v>0.1163574955589002</v>
      </c>
      <c r="U66" s="154"/>
      <c r="V66" s="154"/>
      <c r="W66" s="154">
        <f>+W59/$C$63</f>
        <v>0.1163574955589002</v>
      </c>
      <c r="X66" s="154"/>
      <c r="Y66" s="154"/>
      <c r="Z66" s="154">
        <f>+Z59/$C$63</f>
        <v>0.1163574955589002</v>
      </c>
      <c r="AA66" s="149"/>
      <c r="AB66" s="149"/>
      <c r="AC66" s="154">
        <f>+AC59/$C$63</f>
        <v>0.1163574955589002</v>
      </c>
      <c r="AD66" s="149"/>
      <c r="AE66" s="149"/>
      <c r="AF66" s="154">
        <f>+AF59/$C$63</f>
        <v>0.1163574955589002</v>
      </c>
      <c r="AG66" s="149"/>
      <c r="AH66" s="149"/>
      <c r="AI66" s="154">
        <f>+AI59/$C$63</f>
        <v>0.1163574955589002</v>
      </c>
      <c r="AJ66" s="149"/>
      <c r="AK66" s="149"/>
      <c r="AL66" s="154">
        <f>+AL59/$C$63</f>
        <v>0.1163574955589002</v>
      </c>
      <c r="AM66" s="156">
        <f>+AM59/$C$63</f>
        <v>1.3962899424001143</v>
      </c>
    </row>
    <row r="67" spans="1:39" ht="15.75" customHeight="1" x14ac:dyDescent="0.2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  <c r="Z67" s="13"/>
      <c r="AM67" s="157"/>
    </row>
    <row r="68" spans="1:39" ht="15.75" customHeight="1" x14ac:dyDescent="0.2">
      <c r="A68" s="151" t="s">
        <v>568</v>
      </c>
      <c r="B68" s="151" t="s">
        <v>569</v>
      </c>
      <c r="C68" s="13"/>
      <c r="D68" s="13"/>
      <c r="E68" s="154">
        <f>+E59/E26</f>
        <v>0.28799082236316148</v>
      </c>
      <c r="F68" s="13"/>
      <c r="G68" s="13"/>
      <c r="H68" s="154">
        <f>H59/H26</f>
        <v>0.28799083302243778</v>
      </c>
      <c r="I68" s="13"/>
      <c r="J68" s="13"/>
      <c r="K68" s="154">
        <f>+K59/K26</f>
        <v>0.28799083302243778</v>
      </c>
      <c r="L68" s="13"/>
      <c r="M68" s="13"/>
      <c r="N68" s="154">
        <f>+N59/N26</f>
        <v>0.28799083302243778</v>
      </c>
      <c r="O68" s="13"/>
      <c r="P68" s="13"/>
      <c r="Q68" s="154">
        <f>Q59/Q26</f>
        <v>0.28799083302243778</v>
      </c>
      <c r="R68" s="13"/>
      <c r="S68" s="13"/>
      <c r="T68" s="154">
        <f>+T59/T26</f>
        <v>0.28799083302243778</v>
      </c>
      <c r="U68" s="13"/>
      <c r="V68" s="13"/>
      <c r="W68" s="154">
        <f>+W59/W26</f>
        <v>0.28799083302243778</v>
      </c>
      <c r="X68" s="13"/>
      <c r="Y68" s="13"/>
      <c r="Z68" s="154">
        <f>+Z59/Z26</f>
        <v>0.28799083302243778</v>
      </c>
      <c r="AC68" s="154">
        <f>+AC59/AC26</f>
        <v>0.28799083302243778</v>
      </c>
      <c r="AF68" s="154">
        <f>+AF59/AF26</f>
        <v>0.28799083302243778</v>
      </c>
      <c r="AI68" s="154">
        <f>+AI59/AI26</f>
        <v>0.28799083302243778</v>
      </c>
      <c r="AL68" s="154">
        <f>AL59/AL26</f>
        <v>0.28799083302243778</v>
      </c>
      <c r="AM68" s="156">
        <f>+AM59/AM26</f>
        <v>0.28799083213416476</v>
      </c>
    </row>
    <row r="69" spans="1:39" ht="15.75" customHeight="1" x14ac:dyDescent="0.2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</row>
    <row r="70" spans="1:39" ht="15.75" customHeight="1" x14ac:dyDescent="0.2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</row>
    <row r="71" spans="1:39" ht="15.75" customHeight="1" x14ac:dyDescent="0.2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3"/>
      <c r="Z71" s="13"/>
    </row>
    <row r="72" spans="1:39" ht="15.75" customHeight="1" x14ac:dyDescent="0.2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3"/>
      <c r="Z72" s="13"/>
    </row>
    <row r="73" spans="1:39" ht="15.75" customHeight="1" x14ac:dyDescent="0.2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3"/>
      <c r="Z73" s="13"/>
    </row>
    <row r="74" spans="1:39" ht="15.75" customHeight="1" x14ac:dyDescent="0.2">
      <c r="A74" s="151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13"/>
    </row>
    <row r="75" spans="1:39" ht="15.75" customHeight="1" x14ac:dyDescent="0.2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</row>
    <row r="76" spans="1:39" ht="15.75" customHeight="1" x14ac:dyDescent="0.2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</row>
    <row r="77" spans="1:39" ht="15.75" customHeight="1" x14ac:dyDescent="0.2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</row>
    <row r="78" spans="1:39" ht="15.75" customHeight="1" x14ac:dyDescent="0.2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</row>
    <row r="79" spans="1:39" ht="15.75" customHeight="1" x14ac:dyDescent="0.2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</row>
    <row r="80" spans="1:39" ht="15.75" customHeight="1" x14ac:dyDescent="0.2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</row>
    <row r="81" spans="1:26" ht="15.75" customHeight="1" x14ac:dyDescent="0.2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/>
      <c r="Y81" s="13"/>
      <c r="Z81" s="13"/>
    </row>
    <row r="82" spans="1:26" ht="15.75" customHeight="1" x14ac:dyDescent="0.2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/>
      <c r="Y82" s="13"/>
      <c r="Z82" s="13"/>
    </row>
    <row r="83" spans="1:26" ht="15.75" customHeight="1" x14ac:dyDescent="0.2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</row>
    <row r="84" spans="1:26" ht="15.75" customHeight="1" x14ac:dyDescent="0.2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</row>
    <row r="85" spans="1:26" ht="15.75" customHeigh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</row>
    <row r="86" spans="1:26" ht="15.75" customHeight="1" x14ac:dyDescent="0.2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</row>
    <row r="87" spans="1:26" ht="15.75" customHeight="1" x14ac:dyDescent="0.2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</row>
    <row r="88" spans="1:26" ht="15.75" customHeight="1" x14ac:dyDescent="0.2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</row>
    <row r="89" spans="1:26" ht="15.75" customHeight="1" x14ac:dyDescent="0.2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</row>
    <row r="90" spans="1:26" ht="15.75" customHeight="1" x14ac:dyDescent="0.2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</row>
    <row r="91" spans="1:26" ht="15.75" customHeight="1" x14ac:dyDescent="0.2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/>
      <c r="Y91" s="13"/>
      <c r="Z91" s="13"/>
    </row>
    <row r="92" spans="1:26" ht="15.75" customHeight="1" x14ac:dyDescent="0.2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</row>
    <row r="93" spans="1:26" ht="15.75" customHeight="1" x14ac:dyDescent="0.2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</row>
    <row r="94" spans="1:26" ht="15.75" customHeight="1" x14ac:dyDescent="0.2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</row>
    <row r="95" spans="1:26" ht="15.75" customHeight="1" x14ac:dyDescent="0.2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</row>
    <row r="96" spans="1:26" ht="15.75" customHeight="1" x14ac:dyDescent="0.2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</row>
    <row r="97" spans="1:26" ht="15.75" customHeight="1" x14ac:dyDescent="0.2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</row>
    <row r="98" spans="1:26" ht="15.75" customHeight="1" x14ac:dyDescent="0.2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</row>
    <row r="99" spans="1:26" ht="15.75" customHeight="1" x14ac:dyDescent="0.2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</row>
    <row r="100" spans="1:26" ht="15.75" customHeight="1" x14ac:dyDescent="0.2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15.75" customHeight="1" x14ac:dyDescent="0.2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</row>
    <row r="102" spans="1:26" ht="15.75" customHeight="1" x14ac:dyDescent="0.2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15.75" customHeight="1" x14ac:dyDescent="0.2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</row>
    <row r="104" spans="1:26" ht="15.75" customHeight="1" x14ac:dyDescent="0.2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</row>
    <row r="105" spans="1:26" ht="15.75" customHeight="1" x14ac:dyDescent="0.2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</row>
    <row r="106" spans="1:26" ht="15.75" customHeight="1" x14ac:dyDescent="0.2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</row>
    <row r="107" spans="1:26" ht="15.75" customHeight="1" x14ac:dyDescent="0.2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</row>
    <row r="108" spans="1:26" ht="15.75" customHeight="1" x14ac:dyDescent="0.2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</row>
    <row r="109" spans="1:26" ht="15.75" customHeight="1" x14ac:dyDescent="0.2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</row>
    <row r="110" spans="1:26" ht="15.75" customHeight="1" x14ac:dyDescent="0.2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</row>
    <row r="111" spans="1:26" ht="15.75" customHeight="1" x14ac:dyDescent="0.2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</row>
    <row r="112" spans="1:26" ht="15.75" customHeight="1" x14ac:dyDescent="0.2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</row>
    <row r="113" spans="1:26" ht="15.75" customHeight="1" x14ac:dyDescent="0.2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</row>
    <row r="114" spans="1:26" ht="15.75" customHeight="1" x14ac:dyDescent="0.2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</row>
    <row r="115" spans="1:26" ht="15.75" customHeight="1" x14ac:dyDescent="0.2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</row>
    <row r="116" spans="1:26" ht="15.75" customHeight="1" x14ac:dyDescent="0.2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</row>
    <row r="117" spans="1:26" ht="15.75" customHeight="1" x14ac:dyDescent="0.2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</row>
    <row r="118" spans="1:26" ht="15.75" customHeight="1" x14ac:dyDescent="0.2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</row>
    <row r="119" spans="1:26" ht="15.75" customHeight="1" x14ac:dyDescent="0.2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/>
      <c r="Y119" s="13"/>
      <c r="Z119" s="13"/>
    </row>
    <row r="120" spans="1:26" ht="15.75" customHeight="1" x14ac:dyDescent="0.2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</row>
    <row r="121" spans="1:26" ht="15.75" customHeight="1" x14ac:dyDescent="0.2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</row>
    <row r="122" spans="1:26" ht="15.75" customHeight="1" x14ac:dyDescent="0.2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</row>
    <row r="123" spans="1:26" ht="15.75" customHeight="1" x14ac:dyDescent="0.2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/>
      <c r="Y123" s="13"/>
      <c r="Z123" s="13"/>
    </row>
    <row r="124" spans="1:26" ht="15.75" customHeight="1" x14ac:dyDescent="0.2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/>
      <c r="Y124" s="13"/>
      <c r="Z124" s="13"/>
    </row>
    <row r="125" spans="1:26" ht="15.75" customHeight="1" x14ac:dyDescent="0.2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</row>
    <row r="126" spans="1:26" ht="15.75" customHeight="1" x14ac:dyDescent="0.2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</row>
    <row r="127" spans="1:26" ht="15.75" customHeight="1" x14ac:dyDescent="0.2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</row>
    <row r="128" spans="1:26" ht="15.75" customHeight="1" x14ac:dyDescent="0.2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/>
      <c r="Y128" s="13"/>
      <c r="Z128" s="13"/>
    </row>
    <row r="129" spans="1:26" ht="15.75" customHeight="1" x14ac:dyDescent="0.2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/>
      <c r="Y129" s="13"/>
      <c r="Z129" s="13"/>
    </row>
    <row r="130" spans="1:26" ht="15.75" customHeight="1" x14ac:dyDescent="0.2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/>
      <c r="Y130" s="13"/>
      <c r="Z130" s="13"/>
    </row>
    <row r="131" spans="1:26" ht="15.75" customHeight="1" x14ac:dyDescent="0.2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</row>
    <row r="132" spans="1:26" ht="15.75" customHeight="1" x14ac:dyDescent="0.2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</row>
    <row r="133" spans="1:26" ht="15.75" customHeight="1" x14ac:dyDescent="0.2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/>
      <c r="Y133" s="13"/>
      <c r="Z133" s="13"/>
    </row>
    <row r="134" spans="1:26" ht="15.75" customHeight="1" x14ac:dyDescent="0.2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/>
      <c r="Y134" s="13"/>
      <c r="Z134" s="13"/>
    </row>
    <row r="135" spans="1:26" ht="15.75" customHeight="1" x14ac:dyDescent="0.2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  <c r="Y135" s="13"/>
      <c r="Z135" s="13"/>
    </row>
    <row r="136" spans="1:26" ht="15.75" customHeight="1" x14ac:dyDescent="0.2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</row>
    <row r="137" spans="1:26" ht="15.75" customHeight="1" x14ac:dyDescent="0.2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</row>
    <row r="138" spans="1:26" ht="15.75" customHeight="1" x14ac:dyDescent="0.2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</row>
    <row r="139" spans="1:26" ht="15.75" customHeight="1" x14ac:dyDescent="0.2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  <c r="Y139" s="13"/>
      <c r="Z139" s="13"/>
    </row>
    <row r="140" spans="1:26" ht="15.75" customHeight="1" x14ac:dyDescent="0.2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  <c r="Y140" s="13"/>
      <c r="Z140" s="13"/>
    </row>
    <row r="141" spans="1:26" ht="15.75" customHeight="1" x14ac:dyDescent="0.2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  <c r="Y141" s="13"/>
      <c r="Z141" s="13"/>
    </row>
    <row r="142" spans="1:26" ht="15.75" customHeight="1" x14ac:dyDescent="0.2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  <c r="Y142" s="13"/>
      <c r="Z142" s="13"/>
    </row>
    <row r="143" spans="1:26" ht="15.75" customHeight="1" x14ac:dyDescent="0.2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  <c r="Y143" s="13"/>
      <c r="Z143" s="13"/>
    </row>
    <row r="144" spans="1:26" ht="15.75" customHeight="1" x14ac:dyDescent="0.2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  <c r="Y144" s="13"/>
      <c r="Z144" s="13"/>
    </row>
    <row r="145" spans="1:26" ht="15.75" customHeight="1" x14ac:dyDescent="0.2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15.75" customHeight="1" x14ac:dyDescent="0.2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  <c r="Y146" s="13"/>
      <c r="Z146" s="13"/>
    </row>
    <row r="147" spans="1:26" ht="15.75" customHeight="1" x14ac:dyDescent="0.2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15.75" customHeight="1" x14ac:dyDescent="0.2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  <c r="Y148" s="13"/>
      <c r="Z148" s="13"/>
    </row>
    <row r="149" spans="1:26" ht="15.75" customHeight="1" x14ac:dyDescent="0.2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  <c r="Y149" s="13"/>
      <c r="Z149" s="13"/>
    </row>
    <row r="150" spans="1:26" ht="15.75" customHeight="1" x14ac:dyDescent="0.2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  <c r="Y150" s="13"/>
      <c r="Z150" s="13"/>
    </row>
    <row r="151" spans="1:26" ht="15.75" customHeight="1" x14ac:dyDescent="0.2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  <c r="Y151" s="13"/>
      <c r="Z151" s="13"/>
    </row>
    <row r="152" spans="1:26" ht="15.75" customHeight="1" x14ac:dyDescent="0.2">
      <c r="A152" s="13"/>
      <c r="B152" s="13"/>
      <c r="C152" s="13"/>
      <c r="D152" s="13"/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</row>
    <row r="153" spans="1:26" ht="15.75" customHeight="1" x14ac:dyDescent="0.2">
      <c r="A153" s="13"/>
      <c r="B153" s="13"/>
      <c r="C153" s="13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</row>
    <row r="154" spans="1:26" ht="15.75" customHeight="1" x14ac:dyDescent="0.2">
      <c r="A154" s="13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</row>
    <row r="155" spans="1:26" ht="15.75" customHeight="1" x14ac:dyDescent="0.2">
      <c r="A155" s="13"/>
      <c r="B155" s="13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  <c r="Y155" s="13"/>
      <c r="Z155" s="13"/>
    </row>
    <row r="156" spans="1:26" ht="15.75" customHeight="1" x14ac:dyDescent="0.2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  <c r="Y156" s="13"/>
      <c r="Z156" s="13"/>
    </row>
    <row r="157" spans="1:26" ht="15.75" customHeight="1" x14ac:dyDescent="0.2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  <c r="Y157" s="13"/>
      <c r="Z157" s="13"/>
    </row>
    <row r="158" spans="1:26" ht="15.75" customHeight="1" x14ac:dyDescent="0.2">
      <c r="A158" s="13"/>
      <c r="B158" s="13"/>
      <c r="C158" s="13"/>
      <c r="D158" s="13"/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  <c r="Y158" s="13"/>
      <c r="Z158" s="13"/>
    </row>
    <row r="159" spans="1:26" ht="15.75" customHeight="1" x14ac:dyDescent="0.2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  <c r="Y159" s="13"/>
      <c r="Z159" s="13"/>
    </row>
    <row r="160" spans="1:26" ht="15.75" customHeight="1" x14ac:dyDescent="0.2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</row>
    <row r="161" spans="1:26" ht="15.75" customHeight="1" x14ac:dyDescent="0.2">
      <c r="A161" s="13"/>
      <c r="B161" s="13"/>
      <c r="C161" s="13"/>
      <c r="D161" s="13"/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  <c r="Y161" s="13"/>
      <c r="Z161" s="13"/>
    </row>
    <row r="162" spans="1:26" ht="15.75" customHeight="1" x14ac:dyDescent="0.2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  <c r="Y162" s="13"/>
      <c r="Z162" s="13"/>
    </row>
    <row r="163" spans="1:26" ht="15.75" customHeight="1" x14ac:dyDescent="0.2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  <c r="Y163" s="13"/>
      <c r="Z163" s="13"/>
    </row>
    <row r="164" spans="1:26" ht="15.75" customHeight="1" x14ac:dyDescent="0.2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</row>
    <row r="165" spans="1:26" ht="15.75" customHeight="1" x14ac:dyDescent="0.2">
      <c r="A165" s="13"/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</row>
    <row r="166" spans="1:26" ht="15.75" customHeight="1" x14ac:dyDescent="0.2">
      <c r="A166" s="13"/>
      <c r="B166" s="13"/>
      <c r="C166" s="13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  <c r="Y166" s="13"/>
      <c r="Z166" s="13"/>
    </row>
    <row r="167" spans="1:26" ht="15.75" customHeight="1" x14ac:dyDescent="0.2">
      <c r="A167" s="13"/>
      <c r="B167" s="13"/>
      <c r="C167" s="13"/>
      <c r="D167" s="13"/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  <c r="Y167" s="13"/>
      <c r="Z167" s="13"/>
    </row>
    <row r="168" spans="1:26" ht="15.75" customHeight="1" x14ac:dyDescent="0.2">
      <c r="A168" s="13"/>
      <c r="B168" s="13"/>
      <c r="C168" s="13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  <c r="Y168" s="13"/>
      <c r="Z168" s="13"/>
    </row>
    <row r="169" spans="1:26" ht="15.75" customHeight="1" x14ac:dyDescent="0.2">
      <c r="A169" s="13"/>
      <c r="B169" s="13"/>
      <c r="C169" s="13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  <c r="Y169" s="13"/>
      <c r="Z169" s="13"/>
    </row>
    <row r="170" spans="1:26" ht="15.75" customHeight="1" x14ac:dyDescent="0.2">
      <c r="A170" s="13"/>
      <c r="B170" s="13"/>
      <c r="C170" s="13"/>
      <c r="D170" s="13"/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</row>
    <row r="171" spans="1:26" ht="15.75" customHeight="1" x14ac:dyDescent="0.2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</row>
    <row r="172" spans="1:26" ht="15.75" customHeight="1" x14ac:dyDescent="0.2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</row>
    <row r="173" spans="1:26" ht="15.75" customHeight="1" x14ac:dyDescent="0.2">
      <c r="A173" s="13"/>
      <c r="B173" s="13"/>
      <c r="C173" s="13"/>
      <c r="D173" s="13"/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</row>
    <row r="174" spans="1:26" ht="15.75" customHeight="1" x14ac:dyDescent="0.2">
      <c r="A174" s="13"/>
      <c r="B174" s="13"/>
      <c r="C174" s="13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  <c r="Y174" s="13"/>
      <c r="Z174" s="13"/>
    </row>
    <row r="175" spans="1:26" ht="15.75" customHeight="1" x14ac:dyDescent="0.2">
      <c r="A175" s="13"/>
      <c r="B175" s="13"/>
      <c r="C175" s="13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  <c r="Y175" s="13"/>
      <c r="Z175" s="13"/>
    </row>
    <row r="176" spans="1:26" ht="15.75" customHeight="1" x14ac:dyDescent="0.2">
      <c r="A176" s="13"/>
      <c r="B176" s="13"/>
      <c r="C176" s="13"/>
      <c r="D176" s="13"/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</row>
    <row r="177" spans="1:26" ht="15.75" customHeight="1" x14ac:dyDescent="0.2">
      <c r="A177" s="13"/>
      <c r="B177" s="13"/>
      <c r="C177" s="13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  <c r="Y177" s="13"/>
      <c r="Z177" s="13"/>
    </row>
    <row r="178" spans="1:26" ht="15.75" customHeight="1" x14ac:dyDescent="0.2">
      <c r="A178" s="13"/>
      <c r="B178" s="13"/>
      <c r="C178" s="13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  <c r="Y178" s="13"/>
      <c r="Z178" s="13"/>
    </row>
    <row r="179" spans="1:26" ht="15.75" customHeight="1" x14ac:dyDescent="0.2">
      <c r="A179" s="13"/>
      <c r="B179" s="13"/>
      <c r="C179" s="13"/>
      <c r="D179" s="13"/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</row>
    <row r="180" spans="1:26" ht="15.75" customHeight="1" x14ac:dyDescent="0.2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  <c r="Y180" s="13"/>
      <c r="Z180" s="13"/>
    </row>
    <row r="181" spans="1:26" ht="15.75" customHeight="1" x14ac:dyDescent="0.2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  <c r="Y181" s="13"/>
      <c r="Z181" s="13"/>
    </row>
    <row r="182" spans="1:26" ht="15.75" customHeight="1" x14ac:dyDescent="0.2">
      <c r="A182" s="13"/>
      <c r="B182" s="13"/>
      <c r="C182" s="13"/>
      <c r="D182" s="13"/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</row>
    <row r="183" spans="1:26" ht="15.75" customHeight="1" x14ac:dyDescent="0.2">
      <c r="A183" s="13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  <c r="Y183" s="13"/>
      <c r="Z183" s="13"/>
    </row>
    <row r="184" spans="1:26" ht="15.75" customHeight="1" x14ac:dyDescent="0.2">
      <c r="A184" s="13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  <c r="Y184" s="13"/>
      <c r="Z184" s="13"/>
    </row>
    <row r="185" spans="1:26" ht="15.75" customHeight="1" x14ac:dyDescent="0.2">
      <c r="A185" s="13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</row>
    <row r="186" spans="1:26" ht="15.75" customHeight="1" x14ac:dyDescent="0.2">
      <c r="A186" s="13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  <c r="Y186" s="13"/>
      <c r="Z186" s="13"/>
    </row>
    <row r="187" spans="1:26" ht="15.75" customHeight="1" x14ac:dyDescent="0.2">
      <c r="A187" s="13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  <c r="Y187" s="13"/>
      <c r="Z187" s="13"/>
    </row>
    <row r="188" spans="1:26" ht="15.75" customHeight="1" x14ac:dyDescent="0.2">
      <c r="A188" s="13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</row>
    <row r="189" spans="1:26" ht="15.75" customHeight="1" x14ac:dyDescent="0.2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  <c r="Y189" s="13"/>
      <c r="Z189" s="13"/>
    </row>
    <row r="190" spans="1:26" ht="15.75" customHeight="1" x14ac:dyDescent="0.2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15.75" customHeight="1" x14ac:dyDescent="0.2">
      <c r="A191" s="13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</row>
    <row r="192" spans="1:26" ht="15.75" customHeight="1" x14ac:dyDescent="0.2">
      <c r="A192" s="13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15.75" customHeight="1" x14ac:dyDescent="0.2">
      <c r="A193" s="13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  <c r="Y193" s="13"/>
      <c r="Z193" s="13"/>
    </row>
    <row r="194" spans="1:26" ht="15.75" customHeight="1" x14ac:dyDescent="0.2">
      <c r="A194" s="13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  <c r="Y194" s="13"/>
      <c r="Z194" s="13"/>
    </row>
    <row r="195" spans="1:26" ht="15.75" customHeight="1" x14ac:dyDescent="0.2">
      <c r="A195" s="13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  <c r="Y195" s="13"/>
      <c r="Z195" s="13"/>
    </row>
    <row r="196" spans="1:26" ht="15.75" customHeight="1" x14ac:dyDescent="0.2">
      <c r="A196" s="13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  <c r="Y196" s="13"/>
      <c r="Z196" s="13"/>
    </row>
    <row r="197" spans="1:26" ht="15.75" customHeight="1" x14ac:dyDescent="0.2">
      <c r="A197" s="13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  <c r="Y197" s="13"/>
      <c r="Z197" s="13"/>
    </row>
    <row r="198" spans="1:26" ht="15.75" customHeight="1" x14ac:dyDescent="0.2">
      <c r="A198" s="13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  <c r="Y198" s="13"/>
      <c r="Z198" s="13"/>
    </row>
    <row r="199" spans="1:26" ht="15.75" customHeight="1" x14ac:dyDescent="0.2">
      <c r="A199" s="13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</row>
    <row r="200" spans="1:26" ht="15.75" customHeight="1" x14ac:dyDescent="0.2">
      <c r="A200" s="13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  <c r="Y200" s="13"/>
      <c r="Z200" s="13"/>
    </row>
    <row r="201" spans="1:26" ht="15.75" customHeight="1" x14ac:dyDescent="0.2">
      <c r="A201" s="13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  <c r="Y201" s="13"/>
      <c r="Z201" s="13"/>
    </row>
    <row r="202" spans="1:26" ht="15.75" customHeight="1" x14ac:dyDescent="0.2">
      <c r="A202" s="13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13"/>
    </row>
    <row r="203" spans="1:26" ht="15.75" customHeight="1" x14ac:dyDescent="0.2">
      <c r="A203" s="13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  <c r="Y203" s="13"/>
      <c r="Z203" s="13"/>
    </row>
    <row r="204" spans="1:26" ht="15.75" customHeight="1" x14ac:dyDescent="0.2">
      <c r="A204" s="13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  <c r="Y204" s="13"/>
      <c r="Z204" s="13"/>
    </row>
    <row r="205" spans="1:26" ht="15.75" customHeight="1" x14ac:dyDescent="0.2">
      <c r="A205" s="13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  <c r="Z205" s="13"/>
    </row>
    <row r="206" spans="1:26" ht="15.75" customHeight="1" x14ac:dyDescent="0.2">
      <c r="A206" s="13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</row>
    <row r="207" spans="1:26" ht="15.75" customHeight="1" x14ac:dyDescent="0.2">
      <c r="A207" s="13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</row>
    <row r="208" spans="1:26" ht="15.75" customHeight="1" x14ac:dyDescent="0.2">
      <c r="A208" s="13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</row>
    <row r="209" spans="1:26" ht="15.75" customHeight="1" x14ac:dyDescent="0.2">
      <c r="A209" s="13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</row>
    <row r="210" spans="1:26" ht="15.75" customHeight="1" x14ac:dyDescent="0.2">
      <c r="A210" s="13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  <c r="Y210" s="13"/>
      <c r="Z210" s="13"/>
    </row>
    <row r="211" spans="1:26" ht="15.75" customHeight="1" x14ac:dyDescent="0.2">
      <c r="A211" s="13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  <c r="Y211" s="13"/>
      <c r="Z211" s="13"/>
    </row>
    <row r="212" spans="1:26" ht="15.75" customHeight="1" x14ac:dyDescent="0.2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</row>
    <row r="213" spans="1:26" ht="15.75" customHeight="1" x14ac:dyDescent="0.2">
      <c r="A213" s="13"/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</row>
    <row r="214" spans="1:26" ht="15.75" customHeight="1" x14ac:dyDescent="0.2">
      <c r="A214" s="13"/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  <c r="Y214" s="13"/>
      <c r="Z214" s="13"/>
    </row>
    <row r="215" spans="1:26" ht="15.75" customHeight="1" x14ac:dyDescent="0.2">
      <c r="A215" s="13"/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  <c r="Y215" s="13"/>
      <c r="Z215" s="13"/>
    </row>
    <row r="216" spans="1:26" ht="15.75" customHeight="1" x14ac:dyDescent="0.2">
      <c r="A216" s="13"/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  <c r="Y216" s="13"/>
      <c r="Z216" s="13"/>
    </row>
    <row r="217" spans="1:26" ht="15.75" customHeight="1" x14ac:dyDescent="0.2">
      <c r="A217" s="13"/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  <c r="Y217" s="13"/>
      <c r="Z217" s="13"/>
    </row>
    <row r="218" spans="1:26" ht="15.75" customHeight="1" x14ac:dyDescent="0.2">
      <c r="A218" s="13"/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  <c r="Y218" s="13"/>
      <c r="Z218" s="13"/>
    </row>
    <row r="219" spans="1:26" ht="15.75" customHeight="1" x14ac:dyDescent="0.2">
      <c r="A219" s="13"/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  <c r="Y219" s="13"/>
      <c r="Z219" s="13"/>
    </row>
    <row r="220" spans="1:26" ht="15.75" customHeight="1" x14ac:dyDescent="0.2">
      <c r="A220" s="13"/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  <c r="Y220" s="13"/>
      <c r="Z220" s="13"/>
    </row>
    <row r="221" spans="1:26" ht="15.75" customHeight="1" x14ac:dyDescent="0.2">
      <c r="A221" s="13"/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  <c r="Y221" s="13"/>
      <c r="Z221" s="13"/>
    </row>
    <row r="222" spans="1:26" ht="15.75" customHeight="1" x14ac:dyDescent="0.2">
      <c r="A222" s="13"/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  <c r="Y222" s="13"/>
      <c r="Z222" s="13"/>
    </row>
    <row r="223" spans="1:26" ht="15.75" customHeight="1" x14ac:dyDescent="0.2">
      <c r="A223" s="13"/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  <c r="Y223" s="13"/>
      <c r="Z223" s="13"/>
    </row>
    <row r="224" spans="1:26" ht="15.75" customHeight="1" x14ac:dyDescent="0.2">
      <c r="A224" s="13"/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  <c r="Y224" s="13"/>
      <c r="Z224" s="13"/>
    </row>
    <row r="225" spans="1:26" ht="15.75" customHeight="1" x14ac:dyDescent="0.2">
      <c r="A225" s="13"/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  <c r="Y225" s="13"/>
      <c r="Z225" s="13"/>
    </row>
    <row r="226" spans="1:26" ht="15.75" customHeight="1" x14ac:dyDescent="0.2">
      <c r="A226" s="13"/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  <c r="Y226" s="13"/>
      <c r="Z226" s="13"/>
    </row>
    <row r="227" spans="1:26" ht="15.75" customHeight="1" x14ac:dyDescent="0.2">
      <c r="A227" s="13"/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  <c r="Y227" s="13"/>
      <c r="Z227" s="13"/>
    </row>
    <row r="228" spans="1:26" ht="15.75" customHeight="1" x14ac:dyDescent="0.2">
      <c r="A228" s="13"/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  <c r="Y228" s="13"/>
      <c r="Z228" s="13"/>
    </row>
    <row r="229" spans="1:26" ht="15.75" customHeight="1" x14ac:dyDescent="0.2">
      <c r="A229" s="13"/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  <c r="Y229" s="13"/>
      <c r="Z229" s="13"/>
    </row>
    <row r="230" spans="1:26" ht="15.75" customHeight="1" x14ac:dyDescent="0.2">
      <c r="A230" s="13"/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  <c r="Y230" s="13"/>
      <c r="Z230" s="13"/>
    </row>
    <row r="231" spans="1:26" ht="15.75" customHeight="1" x14ac:dyDescent="0.2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  <c r="Y231" s="13"/>
      <c r="Z231" s="13"/>
    </row>
    <row r="232" spans="1:26" ht="15.75" customHeight="1" x14ac:dyDescent="0.2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</row>
    <row r="233" spans="1:26" ht="15.75" customHeight="1" x14ac:dyDescent="0.2">
      <c r="A233" s="13"/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</row>
    <row r="234" spans="1:26" ht="15.75" customHeight="1" x14ac:dyDescent="0.2">
      <c r="A234" s="13"/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</row>
    <row r="235" spans="1:26" ht="15.75" customHeight="1" x14ac:dyDescent="0.2">
      <c r="A235" s="13"/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15.75" customHeight="1" x14ac:dyDescent="0.2">
      <c r="A236" s="13"/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  <c r="Y236" s="13"/>
      <c r="Z236" s="13"/>
    </row>
    <row r="237" spans="1:26" ht="15.75" customHeight="1" x14ac:dyDescent="0.2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15.75" customHeight="1" x14ac:dyDescent="0.2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  <c r="Y238" s="13"/>
      <c r="Z238" s="13"/>
    </row>
    <row r="239" spans="1:26" ht="15.75" customHeight="1" x14ac:dyDescent="0.2">
      <c r="A239" s="13"/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  <c r="Y239" s="13"/>
      <c r="Z239" s="13"/>
    </row>
    <row r="240" spans="1:26" ht="15.75" customHeight="1" x14ac:dyDescent="0.2">
      <c r="A240" s="13"/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  <c r="Y240" s="13"/>
      <c r="Z240" s="13"/>
    </row>
    <row r="241" spans="1:26" ht="15.75" customHeight="1" x14ac:dyDescent="0.2">
      <c r="A241" s="13"/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  <c r="Y241" s="13"/>
      <c r="Z241" s="13"/>
    </row>
    <row r="242" spans="1:26" ht="15.75" customHeight="1" x14ac:dyDescent="0.2">
      <c r="A242" s="13"/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  <c r="Y242" s="13"/>
      <c r="Z242" s="13"/>
    </row>
    <row r="243" spans="1:26" ht="15.75" customHeight="1" x14ac:dyDescent="0.2">
      <c r="A243" s="13"/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  <c r="Y243" s="13"/>
      <c r="Z243" s="13"/>
    </row>
    <row r="244" spans="1:26" ht="15.75" customHeight="1" x14ac:dyDescent="0.2">
      <c r="A244" s="13"/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  <c r="Y244" s="13"/>
      <c r="Z244" s="13"/>
    </row>
    <row r="245" spans="1:26" ht="15.75" customHeight="1" x14ac:dyDescent="0.2">
      <c r="A245" s="13"/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  <c r="Y245" s="13"/>
      <c r="Z245" s="13"/>
    </row>
    <row r="246" spans="1:26" ht="15.75" customHeight="1" x14ac:dyDescent="0.2">
      <c r="A246" s="13"/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  <c r="Y246" s="13"/>
      <c r="Z246" s="13"/>
    </row>
    <row r="247" spans="1:26" ht="15.75" customHeight="1" x14ac:dyDescent="0.2">
      <c r="A247" s="13"/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  <c r="Y247" s="13"/>
      <c r="Z247" s="13"/>
    </row>
    <row r="248" spans="1:26" ht="15.75" customHeight="1" x14ac:dyDescent="0.2">
      <c r="A248" s="13"/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  <c r="Y248" s="13"/>
      <c r="Z248" s="13"/>
    </row>
    <row r="249" spans="1:26" ht="15.75" customHeight="1" x14ac:dyDescent="0.2">
      <c r="A249" s="13"/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  <c r="Y249" s="13"/>
      <c r="Z249" s="13"/>
    </row>
    <row r="250" spans="1:26" ht="15.75" customHeight="1" x14ac:dyDescent="0.2">
      <c r="A250" s="13"/>
      <c r="B250" s="13"/>
      <c r="C250" s="13"/>
      <c r="D250" s="13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/>
      <c r="Y250" s="13"/>
      <c r="Z250" s="13"/>
    </row>
    <row r="251" spans="1:26" ht="15.75" customHeight="1" x14ac:dyDescent="0.2">
      <c r="A251" s="13"/>
      <c r="B251" s="13"/>
      <c r="C251" s="13"/>
      <c r="D251" s="13"/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</row>
    <row r="252" spans="1:26" ht="15.75" customHeight="1" x14ac:dyDescent="0.2">
      <c r="A252" s="13"/>
      <c r="B252" s="13"/>
      <c r="C252" s="13"/>
      <c r="D252" s="13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</row>
    <row r="253" spans="1:26" ht="15.75" customHeight="1" x14ac:dyDescent="0.2">
      <c r="A253" s="13"/>
      <c r="B253" s="13"/>
      <c r="C253" s="13"/>
      <c r="D253" s="13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/>
      <c r="Y253" s="13"/>
      <c r="Z253" s="13"/>
    </row>
    <row r="254" spans="1:26" ht="15.75" customHeight="1" x14ac:dyDescent="0.2">
      <c r="A254" s="13"/>
      <c r="B254" s="13"/>
      <c r="C254" s="13"/>
      <c r="D254" s="13"/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/>
      <c r="Y254" s="13"/>
      <c r="Z254" s="13"/>
    </row>
    <row r="255" spans="1:26" ht="15.75" customHeight="1" x14ac:dyDescent="0.2">
      <c r="A255" s="13"/>
      <c r="B255" s="13"/>
      <c r="C255" s="13"/>
      <c r="D255" s="13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/>
      <c r="Y255" s="13"/>
      <c r="Z255" s="13"/>
    </row>
    <row r="256" spans="1:26" ht="15.75" customHeight="1" x14ac:dyDescent="0.2">
      <c r="A256" s="13"/>
      <c r="B256" s="13"/>
      <c r="C256" s="13"/>
      <c r="D256" s="13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/>
      <c r="Y256" s="13"/>
      <c r="Z256" s="13"/>
    </row>
    <row r="257" spans="1:26" ht="15.75" customHeight="1" x14ac:dyDescent="0.2">
      <c r="A257" s="13"/>
      <c r="B257" s="13"/>
      <c r="C257" s="13"/>
      <c r="D257" s="13"/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/>
      <c r="Y257" s="13"/>
      <c r="Z257" s="13"/>
    </row>
    <row r="258" spans="1:26" ht="15.75" customHeight="1" x14ac:dyDescent="0.2">
      <c r="A258" s="13"/>
      <c r="B258" s="13"/>
      <c r="C258" s="13"/>
      <c r="D258" s="13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/>
      <c r="Y258" s="13"/>
      <c r="Z258" s="13"/>
    </row>
    <row r="259" spans="1:26" ht="15.75" customHeight="1" x14ac:dyDescent="0.2">
      <c r="A259" s="13"/>
      <c r="B259" s="13"/>
      <c r="C259" s="13"/>
      <c r="D259" s="13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/>
      <c r="Y259" s="13"/>
      <c r="Z259" s="13"/>
    </row>
    <row r="260" spans="1:26" ht="15.75" customHeight="1" x14ac:dyDescent="0.2">
      <c r="A260" s="13"/>
      <c r="B260" s="13"/>
      <c r="C260" s="13"/>
      <c r="D260" s="13"/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/>
      <c r="Y260" s="13"/>
      <c r="Z260" s="13"/>
    </row>
    <row r="261" spans="1:26" ht="15.75" customHeight="1" x14ac:dyDescent="0.2">
      <c r="A261" s="13"/>
      <c r="B261" s="13"/>
      <c r="C261" s="13"/>
      <c r="D261" s="13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/>
      <c r="Y261" s="13"/>
      <c r="Z261" s="13"/>
    </row>
    <row r="262" spans="1:26" ht="15.75" customHeight="1" x14ac:dyDescent="0.2">
      <c r="A262" s="13"/>
      <c r="B262" s="13"/>
      <c r="C262" s="13"/>
      <c r="D262" s="13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/>
      <c r="Y262" s="13"/>
      <c r="Z262" s="13"/>
    </row>
    <row r="263" spans="1:26" ht="15.75" customHeight="1" x14ac:dyDescent="0.2">
      <c r="A263" s="13"/>
      <c r="B263" s="13"/>
      <c r="C263" s="13"/>
      <c r="D263" s="13"/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/>
      <c r="Y263" s="13"/>
      <c r="Z263" s="13"/>
    </row>
    <row r="264" spans="1:26" ht="15.75" customHeight="1" x14ac:dyDescent="0.2">
      <c r="A264" s="13"/>
      <c r="B264" s="13"/>
      <c r="C264" s="13"/>
      <c r="D264" s="13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/>
      <c r="Y264" s="13"/>
      <c r="Z264" s="13"/>
    </row>
    <row r="265" spans="1:26" ht="15.75" customHeight="1" x14ac:dyDescent="0.2">
      <c r="A265" s="13"/>
      <c r="B265" s="13"/>
      <c r="C265" s="13"/>
      <c r="D265" s="13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/>
      <c r="Y265" s="13"/>
      <c r="Z265" s="13"/>
    </row>
    <row r="266" spans="1:26" ht="15.75" customHeight="1" x14ac:dyDescent="0.2">
      <c r="A266" s="13"/>
      <c r="B266" s="13"/>
      <c r="C266" s="13"/>
      <c r="D266" s="13"/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/>
      <c r="Y266" s="13"/>
      <c r="Z266" s="13"/>
    </row>
    <row r="267" spans="1:26" ht="15.75" customHeight="1" x14ac:dyDescent="0.2">
      <c r="A267" s="13"/>
      <c r="B267" s="13"/>
      <c r="C267" s="13"/>
      <c r="D267" s="13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/>
      <c r="Y267" s="13"/>
      <c r="Z267" s="13"/>
    </row>
    <row r="268" spans="1:26" ht="15.75" customHeight="1" x14ac:dyDescent="0.2">
      <c r="A268" s="13"/>
      <c r="B268" s="13"/>
      <c r="C268" s="13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/>
      <c r="Y268" s="13"/>
      <c r="Z268" s="13"/>
    </row>
    <row r="269" spans="1:26" ht="15.75" customHeight="1" x14ac:dyDescent="0.2">
      <c r="A269" s="13"/>
      <c r="B269" s="13"/>
      <c r="C269" s="13"/>
      <c r="D269" s="13"/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/>
      <c r="Y269" s="13"/>
      <c r="Z269" s="13"/>
    </row>
    <row r="270" spans="1:26" ht="15.75" customHeight="1" x14ac:dyDescent="0.2">
      <c r="A270" s="13"/>
      <c r="B270" s="13"/>
      <c r="C270" s="13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/>
      <c r="Y270" s="13"/>
      <c r="Z270" s="13"/>
    </row>
    <row r="271" spans="1:26" ht="15.75" customHeight="1" x14ac:dyDescent="0.2">
      <c r="A271" s="13"/>
      <c r="B271" s="13"/>
      <c r="C271" s="13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/>
      <c r="Y271" s="13"/>
      <c r="Z271" s="13"/>
    </row>
    <row r="272" spans="1:26" ht="15.75" customHeight="1" x14ac:dyDescent="0.2">
      <c r="A272" s="13"/>
      <c r="B272" s="13"/>
      <c r="C272" s="13"/>
      <c r="D272" s="13"/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/>
      <c r="Y272" s="13"/>
      <c r="Z272" s="13"/>
    </row>
    <row r="273" spans="1:26" ht="15.75" customHeight="1" x14ac:dyDescent="0.2">
      <c r="A273" s="13"/>
      <c r="B273" s="13"/>
      <c r="C273" s="13"/>
      <c r="D273" s="13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</row>
    <row r="274" spans="1:26" ht="15.75" customHeight="1" x14ac:dyDescent="0.2">
      <c r="A274" s="13"/>
      <c r="B274" s="13"/>
      <c r="C274" s="13"/>
      <c r="D274" s="13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/>
      <c r="Y274" s="13"/>
      <c r="Z274" s="13"/>
    </row>
    <row r="275" spans="1:26" ht="15.75" customHeight="1" x14ac:dyDescent="0.2">
      <c r="A275" s="13"/>
      <c r="B275" s="13"/>
      <c r="C275" s="13"/>
      <c r="D275" s="13"/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/>
      <c r="Y275" s="13"/>
      <c r="Z275" s="13"/>
    </row>
    <row r="276" spans="1:26" ht="15.75" customHeight="1" x14ac:dyDescent="0.2">
      <c r="A276" s="13"/>
      <c r="B276" s="13"/>
      <c r="C276" s="13"/>
      <c r="D276" s="13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/>
      <c r="Y276" s="13"/>
      <c r="Z276" s="13"/>
    </row>
    <row r="277" spans="1:26" ht="15.75" customHeight="1" x14ac:dyDescent="0.2">
      <c r="A277" s="13"/>
      <c r="B277" s="13"/>
      <c r="C277" s="13"/>
      <c r="D277" s="13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/>
      <c r="Y277" s="13"/>
      <c r="Z277" s="13"/>
    </row>
    <row r="278" spans="1:26" ht="15.75" customHeight="1" x14ac:dyDescent="0.2">
      <c r="A278" s="13"/>
      <c r="B278" s="13"/>
      <c r="C278" s="13"/>
      <c r="D278" s="13"/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/>
      <c r="Y278" s="13"/>
      <c r="Z278" s="13"/>
    </row>
    <row r="279" spans="1:26" ht="15.75" customHeight="1" x14ac:dyDescent="0.2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/>
      <c r="Y279" s="13"/>
      <c r="Z279" s="13"/>
    </row>
    <row r="280" spans="1:26" ht="15.75" customHeight="1" x14ac:dyDescent="0.2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/>
      <c r="Y280" s="13"/>
      <c r="Z280" s="13"/>
    </row>
    <row r="281" spans="1:26" ht="15.75" customHeight="1" x14ac:dyDescent="0.2">
      <c r="A281" s="13"/>
      <c r="B281" s="13"/>
      <c r="C281" s="13"/>
      <c r="D281" s="13"/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/>
      <c r="Y281" s="13"/>
      <c r="Z281" s="13"/>
    </row>
    <row r="282" spans="1:26" ht="15.75" customHeight="1" x14ac:dyDescent="0.2">
      <c r="A282" s="13"/>
      <c r="B282" s="13"/>
      <c r="C282" s="13"/>
      <c r="D282" s="13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/>
      <c r="Y282" s="13"/>
      <c r="Z282" s="13"/>
    </row>
    <row r="283" spans="1:26" ht="15.75" customHeight="1" x14ac:dyDescent="0.2">
      <c r="A283" s="13"/>
      <c r="B283" s="13"/>
      <c r="C283" s="13"/>
      <c r="D283" s="13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/>
      <c r="Y283" s="13"/>
      <c r="Z283" s="13"/>
    </row>
    <row r="284" spans="1:26" ht="15.75" customHeight="1" x14ac:dyDescent="0.2">
      <c r="A284" s="13"/>
      <c r="B284" s="13"/>
      <c r="C284" s="13"/>
      <c r="D284" s="13"/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/>
      <c r="Y284" s="13"/>
      <c r="Z284" s="13"/>
    </row>
    <row r="285" spans="1:26" ht="15.75" customHeight="1" x14ac:dyDescent="0.2">
      <c r="A285" s="13"/>
      <c r="B285" s="13"/>
      <c r="C285" s="13"/>
      <c r="D285" s="13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/>
      <c r="Y285" s="13"/>
      <c r="Z285" s="13"/>
    </row>
    <row r="286" spans="1:26" ht="15.75" customHeight="1" x14ac:dyDescent="0.2">
      <c r="A286" s="13"/>
      <c r="B286" s="13"/>
      <c r="C286" s="13"/>
      <c r="D286" s="13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/>
      <c r="Y286" s="13"/>
      <c r="Z286" s="13"/>
    </row>
    <row r="287" spans="1:26" ht="15.75" customHeight="1" x14ac:dyDescent="0.2">
      <c r="A287" s="13"/>
      <c r="B287" s="13"/>
      <c r="C287" s="13"/>
      <c r="D287" s="13"/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/>
      <c r="Y287" s="13"/>
      <c r="Z287" s="13"/>
    </row>
    <row r="288" spans="1:26" ht="15.75" customHeight="1" x14ac:dyDescent="0.2">
      <c r="A288" s="13"/>
      <c r="B288" s="13"/>
      <c r="C288" s="13"/>
      <c r="D288" s="13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/>
      <c r="Y288" s="13"/>
      <c r="Z288" s="13"/>
    </row>
    <row r="289" spans="1:26" ht="15.75" customHeight="1" x14ac:dyDescent="0.2">
      <c r="A289" s="13"/>
      <c r="B289" s="13"/>
      <c r="C289" s="13"/>
      <c r="D289" s="13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/>
      <c r="Y289" s="13"/>
      <c r="Z289" s="13"/>
    </row>
    <row r="290" spans="1:26" ht="15.75" customHeight="1" x14ac:dyDescent="0.2">
      <c r="A290" s="13"/>
      <c r="B290" s="13"/>
      <c r="C290" s="13"/>
      <c r="D290" s="13"/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/>
      <c r="Y290" s="13"/>
      <c r="Z290" s="13"/>
    </row>
    <row r="291" spans="1:26" ht="15.75" customHeight="1" x14ac:dyDescent="0.2">
      <c r="A291" s="13"/>
      <c r="B291" s="13"/>
      <c r="C291" s="13"/>
      <c r="D291" s="13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/>
      <c r="Y291" s="13"/>
      <c r="Z291" s="13"/>
    </row>
    <row r="292" spans="1:26" ht="15.75" customHeight="1" x14ac:dyDescent="0.2">
      <c r="A292" s="13"/>
      <c r="B292" s="13"/>
      <c r="C292" s="13"/>
      <c r="D292" s="13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/>
      <c r="Y292" s="13"/>
      <c r="Z292" s="13"/>
    </row>
    <row r="293" spans="1:26" ht="15.75" customHeight="1" x14ac:dyDescent="0.2">
      <c r="A293" s="13"/>
      <c r="B293" s="13"/>
      <c r="C293" s="13"/>
      <c r="D293" s="13"/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/>
      <c r="Y293" s="13"/>
      <c r="Z293" s="13"/>
    </row>
    <row r="294" spans="1:26" ht="15.75" customHeight="1" x14ac:dyDescent="0.2">
      <c r="A294" s="13"/>
      <c r="B294" s="13"/>
      <c r="C294" s="13"/>
      <c r="D294" s="13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/>
      <c r="Y294" s="13"/>
      <c r="Z294" s="13"/>
    </row>
    <row r="295" spans="1:26" ht="15.75" customHeight="1" x14ac:dyDescent="0.2">
      <c r="A295" s="13"/>
      <c r="B295" s="13"/>
      <c r="C295" s="13"/>
      <c r="D295" s="13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/>
      <c r="Y295" s="13"/>
      <c r="Z295" s="13"/>
    </row>
    <row r="296" spans="1:26" ht="15.75" customHeight="1" x14ac:dyDescent="0.2">
      <c r="A296" s="13"/>
      <c r="B296" s="13"/>
      <c r="C296" s="13"/>
      <c r="D296" s="13"/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</row>
    <row r="297" spans="1:26" ht="15.75" customHeight="1" x14ac:dyDescent="0.2">
      <c r="A297" s="13"/>
      <c r="B297" s="13"/>
      <c r="C297" s="13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</row>
    <row r="298" spans="1:26" ht="15.75" customHeight="1" x14ac:dyDescent="0.2">
      <c r="A298" s="13"/>
      <c r="B298" s="13"/>
      <c r="C298" s="13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/>
      <c r="Y298" s="13"/>
      <c r="Z298" s="13"/>
    </row>
    <row r="299" spans="1:26" ht="15.75" customHeight="1" x14ac:dyDescent="0.2">
      <c r="A299" s="13"/>
      <c r="B299" s="13"/>
      <c r="C299" s="13"/>
      <c r="D299" s="13"/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/>
      <c r="Y299" s="13"/>
      <c r="Z299" s="13"/>
    </row>
    <row r="300" spans="1:26" ht="15.75" customHeight="1" x14ac:dyDescent="0.2">
      <c r="A300" s="13"/>
      <c r="B300" s="13"/>
      <c r="C300" s="13"/>
      <c r="D300" s="13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/>
      <c r="Y300" s="13"/>
      <c r="Z300" s="13"/>
    </row>
    <row r="301" spans="1:26" ht="15.75" customHeight="1" x14ac:dyDescent="0.2">
      <c r="A301" s="13"/>
      <c r="B301" s="13"/>
      <c r="C301" s="13"/>
      <c r="D301" s="13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/>
      <c r="Y301" s="13"/>
      <c r="Z301" s="13"/>
    </row>
    <row r="302" spans="1:26" ht="15.75" customHeight="1" x14ac:dyDescent="0.2">
      <c r="A302" s="13"/>
      <c r="B302" s="13"/>
      <c r="C302" s="13"/>
      <c r="D302" s="13"/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/>
      <c r="Y302" s="13"/>
      <c r="Z302" s="13"/>
    </row>
    <row r="303" spans="1:26" ht="15.75" customHeight="1" x14ac:dyDescent="0.2">
      <c r="A303" s="13"/>
      <c r="B303" s="13"/>
      <c r="C303" s="13"/>
      <c r="D303" s="13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/>
      <c r="Y303" s="13"/>
      <c r="Z303" s="13"/>
    </row>
    <row r="304" spans="1:26" ht="15.75" customHeight="1" x14ac:dyDescent="0.2">
      <c r="A304" s="13"/>
      <c r="B304" s="13"/>
      <c r="C304" s="13"/>
      <c r="D304" s="13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</row>
    <row r="305" spans="1:26" ht="15.75" customHeight="1" x14ac:dyDescent="0.2">
      <c r="A305" s="13"/>
      <c r="B305" s="13"/>
      <c r="C305" s="13"/>
      <c r="D305" s="13"/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/>
      <c r="Y305" s="13"/>
      <c r="Z305" s="13"/>
    </row>
    <row r="306" spans="1:26" ht="15.75" customHeight="1" x14ac:dyDescent="0.2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/>
      <c r="Y306" s="13"/>
      <c r="Z306" s="13"/>
    </row>
    <row r="307" spans="1:26" ht="15.75" customHeight="1" x14ac:dyDescent="0.2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Y307" s="13"/>
      <c r="Z307" s="13"/>
    </row>
    <row r="308" spans="1:26" ht="15.75" customHeight="1" x14ac:dyDescent="0.2">
      <c r="A308" s="13"/>
      <c r="B308" s="13"/>
      <c r="C308" s="13"/>
      <c r="D308" s="13"/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/>
      <c r="Y308" s="13"/>
      <c r="Z308" s="13"/>
    </row>
    <row r="309" spans="1:26" ht="15.75" customHeight="1" x14ac:dyDescent="0.2">
      <c r="A309" s="13"/>
      <c r="B309" s="13"/>
      <c r="C309" s="13"/>
      <c r="D309" s="13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/>
      <c r="Y309" s="13"/>
      <c r="Z309" s="13"/>
    </row>
    <row r="310" spans="1:26" ht="15.75" customHeight="1" x14ac:dyDescent="0.2">
      <c r="A310" s="13"/>
      <c r="B310" s="13"/>
      <c r="C310" s="13"/>
      <c r="D310" s="13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/>
      <c r="Y310" s="13"/>
      <c r="Z310" s="13"/>
    </row>
    <row r="311" spans="1:26" ht="15.75" customHeight="1" x14ac:dyDescent="0.2">
      <c r="A311" s="13"/>
      <c r="B311" s="13"/>
      <c r="C311" s="13"/>
      <c r="D311" s="13"/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</row>
    <row r="312" spans="1:26" ht="15.75" customHeight="1" x14ac:dyDescent="0.2">
      <c r="A312" s="13"/>
      <c r="B312" s="13"/>
      <c r="C312" s="13"/>
      <c r="D312" s="13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</row>
    <row r="313" spans="1:26" ht="15.75" customHeight="1" x14ac:dyDescent="0.2">
      <c r="A313" s="13"/>
      <c r="B313" s="13"/>
      <c r="C313" s="13"/>
      <c r="D313" s="13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/>
      <c r="Y313" s="13"/>
      <c r="Z313" s="13"/>
    </row>
    <row r="314" spans="1:26" ht="15.75" customHeight="1" x14ac:dyDescent="0.2">
      <c r="A314" s="13"/>
      <c r="B314" s="13"/>
      <c r="C314" s="13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/>
      <c r="Y314" s="13"/>
      <c r="Z314" s="13"/>
    </row>
    <row r="315" spans="1:26" ht="15.75" customHeight="1" x14ac:dyDescent="0.2">
      <c r="A315" s="13"/>
      <c r="B315" s="13"/>
      <c r="C315" s="13"/>
      <c r="D315" s="13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/>
      <c r="Y315" s="13"/>
      <c r="Z315" s="13"/>
    </row>
    <row r="316" spans="1:26" ht="15.75" customHeight="1" x14ac:dyDescent="0.2">
      <c r="A316" s="13"/>
      <c r="B316" s="13"/>
      <c r="C316" s="13"/>
      <c r="D316" s="13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/>
      <c r="Y316" s="13"/>
      <c r="Z316" s="13"/>
    </row>
    <row r="317" spans="1:26" ht="15.75" customHeight="1" x14ac:dyDescent="0.2">
      <c r="A317" s="13"/>
      <c r="B317" s="13"/>
      <c r="C317" s="13"/>
      <c r="D317" s="13"/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/>
      <c r="Y317" s="13"/>
      <c r="Z317" s="13"/>
    </row>
    <row r="318" spans="1:26" ht="15.75" customHeight="1" x14ac:dyDescent="0.2">
      <c r="A318" s="13"/>
      <c r="B318" s="13"/>
      <c r="C318" s="13"/>
      <c r="D318" s="13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/>
      <c r="Y318" s="13"/>
      <c r="Z318" s="13"/>
    </row>
    <row r="319" spans="1:26" ht="15.75" customHeight="1" x14ac:dyDescent="0.2">
      <c r="A319" s="13"/>
      <c r="B319" s="13"/>
      <c r="C319" s="13"/>
      <c r="D319" s="13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/>
      <c r="Y319" s="13"/>
      <c r="Z319" s="13"/>
    </row>
    <row r="320" spans="1:26" ht="15.75" customHeight="1" x14ac:dyDescent="0.2">
      <c r="A320" s="13"/>
      <c r="B320" s="13"/>
      <c r="C320" s="13"/>
      <c r="D320" s="13"/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/>
      <c r="Y320" s="13"/>
      <c r="Z320" s="13"/>
    </row>
    <row r="321" spans="1:26" ht="15.75" customHeight="1" x14ac:dyDescent="0.2">
      <c r="A321" s="13"/>
      <c r="B321" s="13"/>
      <c r="C321" s="13"/>
      <c r="D321" s="13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/>
      <c r="Y321" s="13"/>
      <c r="Z321" s="13"/>
    </row>
    <row r="322" spans="1:26" ht="15.75" customHeight="1" x14ac:dyDescent="0.2">
      <c r="A322" s="13"/>
      <c r="B322" s="13"/>
      <c r="C322" s="13"/>
      <c r="D322" s="13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/>
      <c r="Y322" s="13"/>
      <c r="Z322" s="13"/>
    </row>
    <row r="323" spans="1:26" ht="15.75" customHeight="1" x14ac:dyDescent="0.2">
      <c r="A323" s="13"/>
      <c r="B323" s="13"/>
      <c r="C323" s="13"/>
      <c r="D323" s="13"/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/>
      <c r="Y323" s="13"/>
      <c r="Z323" s="13"/>
    </row>
    <row r="324" spans="1:26" ht="15.75" customHeight="1" x14ac:dyDescent="0.2">
      <c r="A324" s="13"/>
      <c r="B324" s="13"/>
      <c r="C324" s="13"/>
      <c r="D324" s="13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/>
      <c r="Y324" s="13"/>
      <c r="Z324" s="13"/>
    </row>
    <row r="325" spans="1:26" ht="15.75" customHeight="1" x14ac:dyDescent="0.2">
      <c r="A325" s="13"/>
      <c r="B325" s="13"/>
      <c r="C325" s="13"/>
      <c r="D325" s="13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/>
      <c r="Y325" s="13"/>
      <c r="Z325" s="13"/>
    </row>
    <row r="326" spans="1:26" ht="15.75" customHeight="1" x14ac:dyDescent="0.2">
      <c r="A326" s="13"/>
      <c r="B326" s="13"/>
      <c r="C326" s="13"/>
      <c r="D326" s="13"/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/>
      <c r="Y326" s="13"/>
      <c r="Z326" s="13"/>
    </row>
    <row r="327" spans="1:26" ht="15.75" customHeight="1" x14ac:dyDescent="0.2">
      <c r="A327" s="13"/>
      <c r="B327" s="13"/>
      <c r="C327" s="13"/>
      <c r="D327" s="13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/>
      <c r="Y327" s="13"/>
      <c r="Z327" s="13"/>
    </row>
    <row r="328" spans="1:26" ht="15.75" customHeight="1" x14ac:dyDescent="0.2">
      <c r="A328" s="13"/>
      <c r="B328" s="13"/>
      <c r="C328" s="13"/>
      <c r="D328" s="13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/>
      <c r="Y328" s="13"/>
      <c r="Z328" s="13"/>
    </row>
    <row r="329" spans="1:26" ht="15.75" customHeight="1" x14ac:dyDescent="0.2">
      <c r="A329" s="13"/>
      <c r="B329" s="13"/>
      <c r="C329" s="13"/>
      <c r="D329" s="13"/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/>
      <c r="Y329" s="13"/>
      <c r="Z329" s="13"/>
    </row>
    <row r="330" spans="1:26" ht="15.75" customHeight="1" x14ac:dyDescent="0.2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/>
      <c r="Y330" s="13"/>
      <c r="Z330" s="13"/>
    </row>
    <row r="331" spans="1:26" ht="15.75" customHeight="1" x14ac:dyDescent="0.2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</row>
    <row r="332" spans="1:26" ht="15.75" customHeight="1" x14ac:dyDescent="0.2">
      <c r="A332" s="13"/>
      <c r="B332" s="13"/>
      <c r="C332" s="13"/>
      <c r="D332" s="13"/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/>
      <c r="Y332" s="13"/>
      <c r="Z332" s="13"/>
    </row>
    <row r="333" spans="1:26" ht="15.75" customHeight="1" x14ac:dyDescent="0.2">
      <c r="A333" s="13"/>
      <c r="B333" s="13"/>
      <c r="C333" s="13"/>
      <c r="D333" s="13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/>
      <c r="Y333" s="13"/>
      <c r="Z333" s="13"/>
    </row>
    <row r="334" spans="1:26" ht="15.75" customHeight="1" x14ac:dyDescent="0.2">
      <c r="A334" s="13"/>
      <c r="B334" s="13"/>
      <c r="C334" s="13"/>
      <c r="D334" s="13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/>
      <c r="Y334" s="13"/>
      <c r="Z334" s="13"/>
    </row>
    <row r="335" spans="1:26" ht="15.75" customHeight="1" x14ac:dyDescent="0.2">
      <c r="A335" s="13"/>
      <c r="B335" s="13"/>
      <c r="C335" s="13"/>
      <c r="D335" s="13"/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/>
      <c r="Y335" s="13"/>
      <c r="Z335" s="13"/>
    </row>
    <row r="336" spans="1:26" ht="15.75" customHeight="1" x14ac:dyDescent="0.2">
      <c r="A336" s="13"/>
      <c r="B336" s="13"/>
      <c r="C336" s="13"/>
      <c r="D336" s="13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/>
      <c r="Y336" s="13"/>
      <c r="Z336" s="13"/>
    </row>
    <row r="337" spans="1:26" ht="15.75" customHeight="1" x14ac:dyDescent="0.2">
      <c r="A337" s="13"/>
      <c r="B337" s="13"/>
      <c r="C337" s="13"/>
      <c r="D337" s="13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/>
      <c r="Y337" s="13"/>
      <c r="Z337" s="13"/>
    </row>
    <row r="338" spans="1:26" ht="15.75" customHeight="1" x14ac:dyDescent="0.2">
      <c r="A338" s="13"/>
      <c r="B338" s="13"/>
      <c r="C338" s="13"/>
      <c r="D338" s="13"/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/>
      <c r="Y338" s="13"/>
      <c r="Z338" s="13"/>
    </row>
    <row r="339" spans="1:26" ht="15.75" customHeight="1" x14ac:dyDescent="0.2">
      <c r="A339" s="13"/>
      <c r="B339" s="13"/>
      <c r="C339" s="13"/>
      <c r="D339" s="13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/>
      <c r="Y339" s="13"/>
      <c r="Z339" s="13"/>
    </row>
    <row r="340" spans="1:26" ht="15.75" customHeight="1" x14ac:dyDescent="0.2">
      <c r="A340" s="13"/>
      <c r="B340" s="13"/>
      <c r="C340" s="13"/>
      <c r="D340" s="13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/>
      <c r="Y340" s="13"/>
      <c r="Z340" s="13"/>
    </row>
    <row r="341" spans="1:26" ht="15.75" customHeight="1" x14ac:dyDescent="0.2">
      <c r="A341" s="13"/>
      <c r="B341" s="13"/>
      <c r="C341" s="13"/>
      <c r="D341" s="13"/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/>
      <c r="Y341" s="13"/>
      <c r="Z341" s="13"/>
    </row>
    <row r="342" spans="1:26" ht="15.75" customHeight="1" x14ac:dyDescent="0.2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/>
      <c r="Y342" s="13"/>
      <c r="Z342" s="13"/>
    </row>
    <row r="343" spans="1:26" ht="15.75" customHeight="1" x14ac:dyDescent="0.2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/>
      <c r="Y343" s="13"/>
      <c r="Z343" s="13"/>
    </row>
    <row r="344" spans="1:26" ht="15.75" customHeight="1" x14ac:dyDescent="0.2">
      <c r="A344" s="13"/>
      <c r="B344" s="13"/>
      <c r="C344" s="13"/>
      <c r="D344" s="13"/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/>
      <c r="Y344" s="13"/>
      <c r="Z344" s="13"/>
    </row>
    <row r="345" spans="1:26" ht="15.75" customHeight="1" x14ac:dyDescent="0.2">
      <c r="A345" s="13"/>
      <c r="B345" s="13"/>
      <c r="C345" s="13"/>
      <c r="D345" s="13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/>
      <c r="Y345" s="13"/>
      <c r="Z345" s="13"/>
    </row>
    <row r="346" spans="1:26" ht="15.75" customHeight="1" x14ac:dyDescent="0.2">
      <c r="A346" s="13"/>
      <c r="B346" s="13"/>
      <c r="C346" s="13"/>
      <c r="D346" s="13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/>
      <c r="Y346" s="13"/>
      <c r="Z346" s="13"/>
    </row>
    <row r="347" spans="1:26" ht="15.75" customHeight="1" x14ac:dyDescent="0.2">
      <c r="A347" s="13"/>
      <c r="B347" s="13"/>
      <c r="C347" s="13"/>
      <c r="D347" s="13"/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/>
      <c r="Y347" s="13"/>
      <c r="Z347" s="13"/>
    </row>
    <row r="348" spans="1:26" ht="15.75" customHeight="1" x14ac:dyDescent="0.2">
      <c r="A348" s="13"/>
      <c r="B348" s="13"/>
      <c r="C348" s="13"/>
      <c r="D348" s="13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/>
      <c r="Y348" s="13"/>
      <c r="Z348" s="13"/>
    </row>
    <row r="349" spans="1:26" ht="15.75" customHeight="1" x14ac:dyDescent="0.2">
      <c r="A349" s="13"/>
      <c r="B349" s="13"/>
      <c r="C349" s="13"/>
      <c r="D349" s="13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/>
      <c r="Y349" s="13"/>
      <c r="Z349" s="13"/>
    </row>
    <row r="350" spans="1:26" ht="15.75" customHeight="1" x14ac:dyDescent="0.2">
      <c r="A350" s="13"/>
      <c r="B350" s="13"/>
      <c r="C350" s="13"/>
      <c r="D350" s="13"/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</row>
    <row r="351" spans="1:26" ht="15.75" customHeight="1" x14ac:dyDescent="0.2">
      <c r="A351" s="13"/>
      <c r="B351" s="13"/>
      <c r="C351" s="13"/>
      <c r="D351" s="13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</row>
    <row r="352" spans="1:26" ht="15.75" customHeight="1" x14ac:dyDescent="0.2">
      <c r="A352" s="13"/>
      <c r="B352" s="13"/>
      <c r="C352" s="13"/>
      <c r="D352" s="13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/>
      <c r="Y352" s="13"/>
      <c r="Z352" s="13"/>
    </row>
    <row r="353" spans="1:26" ht="15.75" customHeight="1" x14ac:dyDescent="0.2">
      <c r="A353" s="13"/>
      <c r="B353" s="13"/>
      <c r="C353" s="13"/>
      <c r="D353" s="13"/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/>
      <c r="Y353" s="13"/>
      <c r="Z353" s="13"/>
    </row>
    <row r="354" spans="1:26" ht="15.75" customHeight="1" x14ac:dyDescent="0.2">
      <c r="A354" s="13"/>
      <c r="B354" s="13"/>
      <c r="C354" s="13"/>
      <c r="D354" s="13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/>
      <c r="Y354" s="13"/>
      <c r="Z354" s="13"/>
    </row>
    <row r="355" spans="1:26" ht="15.75" customHeight="1" x14ac:dyDescent="0.2">
      <c r="A355" s="13"/>
      <c r="B355" s="13"/>
      <c r="C355" s="13"/>
      <c r="D355" s="13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/>
      <c r="Y355" s="13"/>
      <c r="Z355" s="13"/>
    </row>
    <row r="356" spans="1:26" ht="15.75" customHeight="1" x14ac:dyDescent="0.2">
      <c r="A356" s="13"/>
      <c r="B356" s="13"/>
      <c r="C356" s="13"/>
      <c r="D356" s="13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/>
      <c r="Y356" s="13"/>
      <c r="Z356" s="13"/>
    </row>
    <row r="357" spans="1:26" ht="15.75" customHeight="1" x14ac:dyDescent="0.2">
      <c r="A357" s="13"/>
      <c r="B357" s="13"/>
      <c r="C357" s="13"/>
      <c r="D357" s="13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/>
      <c r="Y357" s="13"/>
      <c r="Z357" s="13"/>
    </row>
    <row r="358" spans="1:26" ht="15.75" customHeight="1" x14ac:dyDescent="0.2">
      <c r="A358" s="13"/>
      <c r="B358" s="13"/>
      <c r="C358" s="13"/>
      <c r="D358" s="13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/>
      <c r="Y358" s="13"/>
      <c r="Z358" s="13"/>
    </row>
    <row r="359" spans="1:26" ht="15.75" customHeight="1" x14ac:dyDescent="0.2">
      <c r="A359" s="13"/>
      <c r="B359" s="13"/>
      <c r="C359" s="13"/>
      <c r="D359" s="13"/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/>
      <c r="Y359" s="13"/>
      <c r="Z359" s="13"/>
    </row>
    <row r="360" spans="1:26" ht="15.75" customHeight="1" x14ac:dyDescent="0.2">
      <c r="A360" s="13"/>
      <c r="B360" s="13"/>
      <c r="C360" s="13"/>
      <c r="D360" s="13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/>
      <c r="Y360" s="13"/>
      <c r="Z360" s="13"/>
    </row>
    <row r="361" spans="1:26" ht="15.75" customHeight="1" x14ac:dyDescent="0.2">
      <c r="A361" s="13"/>
      <c r="B361" s="13"/>
      <c r="C361" s="13"/>
      <c r="D361" s="13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/>
      <c r="Y361" s="13"/>
      <c r="Z361" s="13"/>
    </row>
    <row r="362" spans="1:26" ht="15.75" customHeight="1" x14ac:dyDescent="0.2">
      <c r="A362" s="13"/>
      <c r="B362" s="13"/>
      <c r="C362" s="13"/>
      <c r="D362" s="13"/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/>
      <c r="Y362" s="13"/>
      <c r="Z362" s="13"/>
    </row>
    <row r="363" spans="1:26" ht="15.75" customHeight="1" x14ac:dyDescent="0.2">
      <c r="A363" s="13"/>
      <c r="B363" s="13"/>
      <c r="C363" s="13"/>
      <c r="D363" s="13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/>
      <c r="Y363" s="13"/>
      <c r="Z363" s="13"/>
    </row>
    <row r="364" spans="1:26" ht="15.75" customHeight="1" x14ac:dyDescent="0.2">
      <c r="A364" s="13"/>
      <c r="B364" s="13"/>
      <c r="C364" s="13"/>
      <c r="D364" s="13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/>
      <c r="Y364" s="13"/>
      <c r="Z364" s="13"/>
    </row>
    <row r="365" spans="1:26" ht="15.75" customHeight="1" x14ac:dyDescent="0.2">
      <c r="A365" s="13"/>
      <c r="B365" s="13"/>
      <c r="C365" s="13"/>
      <c r="D365" s="13"/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/>
      <c r="Y365" s="13"/>
      <c r="Z365" s="13"/>
    </row>
    <row r="366" spans="1:26" ht="15.75" customHeight="1" x14ac:dyDescent="0.2">
      <c r="A366" s="13"/>
      <c r="B366" s="13"/>
      <c r="C366" s="13"/>
      <c r="D366" s="13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/>
      <c r="Y366" s="13"/>
      <c r="Z366" s="13"/>
    </row>
    <row r="367" spans="1:26" ht="15.75" customHeight="1" x14ac:dyDescent="0.2">
      <c r="A367" s="13"/>
      <c r="B367" s="13"/>
      <c r="C367" s="13"/>
      <c r="D367" s="13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/>
      <c r="Y367" s="13"/>
      <c r="Z367" s="13"/>
    </row>
    <row r="368" spans="1:26" ht="15.75" customHeight="1" x14ac:dyDescent="0.2">
      <c r="A368" s="13"/>
      <c r="B368" s="13"/>
      <c r="C368" s="13"/>
      <c r="D368" s="13"/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/>
      <c r="Y368" s="13"/>
      <c r="Z368" s="13"/>
    </row>
    <row r="369" spans="1:26" ht="15.75" customHeight="1" x14ac:dyDescent="0.2">
      <c r="A369" s="13"/>
      <c r="B369" s="13"/>
      <c r="C369" s="13"/>
      <c r="D369" s="13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/>
      <c r="Y369" s="13"/>
      <c r="Z369" s="13"/>
    </row>
    <row r="370" spans="1:26" ht="15.75" customHeight="1" x14ac:dyDescent="0.2">
      <c r="A370" s="13"/>
      <c r="B370" s="13"/>
      <c r="C370" s="13"/>
      <c r="D370" s="13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</row>
    <row r="371" spans="1:26" ht="15.75" customHeight="1" x14ac:dyDescent="0.2">
      <c r="A371" s="13"/>
      <c r="B371" s="13"/>
      <c r="C371" s="13"/>
      <c r="D371" s="13"/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/>
      <c r="Y371" s="13"/>
      <c r="Z371" s="13"/>
    </row>
    <row r="372" spans="1:26" ht="15.75" customHeight="1" x14ac:dyDescent="0.2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/>
      <c r="Y372" s="13"/>
      <c r="Z372" s="13"/>
    </row>
    <row r="373" spans="1:26" ht="15.75" customHeight="1" x14ac:dyDescent="0.2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/>
      <c r="Y373" s="13"/>
      <c r="Z373" s="13"/>
    </row>
    <row r="374" spans="1:26" ht="15.75" customHeight="1" x14ac:dyDescent="0.2">
      <c r="A374" s="13"/>
      <c r="B374" s="13"/>
      <c r="C374" s="13"/>
      <c r="D374" s="13"/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/>
      <c r="Y374" s="13"/>
      <c r="Z374" s="13"/>
    </row>
    <row r="375" spans="1:26" ht="15.75" customHeight="1" x14ac:dyDescent="0.2">
      <c r="A375" s="13"/>
      <c r="B375" s="13"/>
      <c r="C375" s="13"/>
      <c r="D375" s="13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/>
      <c r="Y375" s="13"/>
      <c r="Z375" s="13"/>
    </row>
    <row r="376" spans="1:26" ht="15.75" customHeight="1" x14ac:dyDescent="0.2">
      <c r="A376" s="13"/>
      <c r="B376" s="13"/>
      <c r="C376" s="13"/>
      <c r="D376" s="13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/>
      <c r="Y376" s="13"/>
      <c r="Z376" s="13"/>
    </row>
    <row r="377" spans="1:26" ht="15.75" customHeight="1" x14ac:dyDescent="0.2">
      <c r="A377" s="13"/>
      <c r="B377" s="13"/>
      <c r="C377" s="13"/>
      <c r="D377" s="13"/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/>
      <c r="Y377" s="13"/>
      <c r="Z377" s="13"/>
    </row>
    <row r="378" spans="1:26" ht="15.75" customHeight="1" x14ac:dyDescent="0.2">
      <c r="A378" s="13"/>
      <c r="B378" s="13"/>
      <c r="C378" s="13"/>
      <c r="D378" s="13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/>
      <c r="Y378" s="13"/>
      <c r="Z378" s="13"/>
    </row>
    <row r="379" spans="1:26" ht="15.75" customHeight="1" x14ac:dyDescent="0.2">
      <c r="A379" s="13"/>
      <c r="B379" s="13"/>
      <c r="C379" s="13"/>
      <c r="D379" s="13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/>
      <c r="Y379" s="13"/>
      <c r="Z379" s="13"/>
    </row>
    <row r="380" spans="1:26" ht="15.75" customHeight="1" x14ac:dyDescent="0.2">
      <c r="A380" s="13"/>
      <c r="B380" s="13"/>
      <c r="C380" s="13"/>
      <c r="D380" s="13"/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/>
      <c r="Y380" s="13"/>
      <c r="Z380" s="13"/>
    </row>
    <row r="381" spans="1:26" ht="15.75" customHeight="1" x14ac:dyDescent="0.2">
      <c r="A381" s="13"/>
      <c r="B381" s="13"/>
      <c r="C381" s="13"/>
      <c r="D381" s="13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/>
      <c r="Y381" s="13"/>
      <c r="Z381" s="13"/>
    </row>
    <row r="382" spans="1:26" ht="15.75" customHeight="1" x14ac:dyDescent="0.2">
      <c r="A382" s="13"/>
      <c r="B382" s="13"/>
      <c r="C382" s="13"/>
      <c r="D382" s="13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/>
      <c r="Y382" s="13"/>
      <c r="Z382" s="13"/>
    </row>
    <row r="383" spans="1:26" ht="15.75" customHeight="1" x14ac:dyDescent="0.2">
      <c r="A383" s="13"/>
      <c r="B383" s="13"/>
      <c r="C383" s="13"/>
      <c r="D383" s="13"/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/>
      <c r="Y383" s="13"/>
      <c r="Z383" s="13"/>
    </row>
    <row r="384" spans="1:26" ht="15.75" customHeight="1" x14ac:dyDescent="0.2">
      <c r="A384" s="13"/>
      <c r="B384" s="13"/>
      <c r="C384" s="13"/>
      <c r="D384" s="13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/>
      <c r="Y384" s="13"/>
      <c r="Z384" s="13"/>
    </row>
    <row r="385" spans="1:26" ht="15.75" customHeight="1" x14ac:dyDescent="0.2">
      <c r="A385" s="13"/>
      <c r="B385" s="13"/>
      <c r="C385" s="13"/>
      <c r="D385" s="13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/>
      <c r="Y385" s="13"/>
      <c r="Z385" s="13"/>
    </row>
    <row r="386" spans="1:26" ht="15.75" customHeight="1" x14ac:dyDescent="0.2">
      <c r="A386" s="13"/>
      <c r="B386" s="13"/>
      <c r="C386" s="13"/>
      <c r="D386" s="13"/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/>
      <c r="Y386" s="13"/>
      <c r="Z386" s="13"/>
    </row>
    <row r="387" spans="1:26" ht="15.75" customHeight="1" x14ac:dyDescent="0.2">
      <c r="A387" s="13"/>
      <c r="B387" s="13"/>
      <c r="C387" s="13"/>
      <c r="D387" s="13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/>
      <c r="Y387" s="13"/>
      <c r="Z387" s="13"/>
    </row>
    <row r="388" spans="1:26" ht="15.75" customHeight="1" x14ac:dyDescent="0.2">
      <c r="A388" s="13"/>
      <c r="B388" s="13"/>
      <c r="C388" s="13"/>
      <c r="D388" s="13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/>
      <c r="Y388" s="13"/>
      <c r="Z388" s="13"/>
    </row>
    <row r="389" spans="1:26" ht="15.75" customHeight="1" x14ac:dyDescent="0.2">
      <c r="A389" s="13"/>
      <c r="B389" s="13"/>
      <c r="C389" s="13"/>
      <c r="D389" s="13"/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</row>
    <row r="390" spans="1:26" ht="15.75" customHeight="1" x14ac:dyDescent="0.2">
      <c r="A390" s="13"/>
      <c r="B390" s="13"/>
      <c r="C390" s="13"/>
      <c r="D390" s="13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</row>
    <row r="391" spans="1:26" ht="15.75" customHeight="1" x14ac:dyDescent="0.2">
      <c r="A391" s="13"/>
      <c r="B391" s="13"/>
      <c r="C391" s="13"/>
      <c r="D391" s="13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/>
      <c r="Y391" s="13"/>
      <c r="Z391" s="13"/>
    </row>
    <row r="392" spans="1:26" ht="15.75" customHeight="1" x14ac:dyDescent="0.2">
      <c r="A392" s="13"/>
      <c r="B392" s="13"/>
      <c r="C392" s="13"/>
      <c r="D392" s="13"/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/>
      <c r="Y392" s="13"/>
      <c r="Z392" s="13"/>
    </row>
    <row r="393" spans="1:26" ht="15.75" customHeight="1" x14ac:dyDescent="0.2">
      <c r="A393" s="13"/>
      <c r="B393" s="13"/>
      <c r="C393" s="13"/>
      <c r="D393" s="13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/>
      <c r="Y393" s="13"/>
      <c r="Z393" s="13"/>
    </row>
    <row r="394" spans="1:26" ht="15.75" customHeight="1" x14ac:dyDescent="0.2">
      <c r="A394" s="13"/>
      <c r="B394" s="13"/>
      <c r="C394" s="13"/>
      <c r="D394" s="13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/>
      <c r="Y394" s="13"/>
      <c r="Z394" s="13"/>
    </row>
    <row r="395" spans="1:26" ht="15.75" customHeight="1" x14ac:dyDescent="0.2">
      <c r="A395" s="13"/>
      <c r="B395" s="13"/>
      <c r="C395" s="13"/>
      <c r="D395" s="13"/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/>
      <c r="Y395" s="13"/>
      <c r="Z395" s="13"/>
    </row>
    <row r="396" spans="1:26" ht="15.75" customHeight="1" x14ac:dyDescent="0.2">
      <c r="A396" s="13"/>
      <c r="B396" s="13"/>
      <c r="C396" s="13"/>
      <c r="D396" s="13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/>
      <c r="Y396" s="13"/>
      <c r="Z396" s="13"/>
    </row>
    <row r="397" spans="1:26" ht="15.75" customHeight="1" x14ac:dyDescent="0.2">
      <c r="A397" s="13"/>
      <c r="B397" s="13"/>
      <c r="C397" s="13"/>
      <c r="D397" s="13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/>
      <c r="Y397" s="13"/>
      <c r="Z397" s="13"/>
    </row>
    <row r="398" spans="1:26" ht="15.75" customHeight="1" x14ac:dyDescent="0.2">
      <c r="A398" s="13"/>
      <c r="B398" s="13"/>
      <c r="C398" s="13"/>
      <c r="D398" s="13"/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/>
      <c r="Y398" s="13"/>
      <c r="Z398" s="13"/>
    </row>
    <row r="399" spans="1:26" ht="15.75" customHeight="1" x14ac:dyDescent="0.2">
      <c r="A399" s="13"/>
      <c r="B399" s="13"/>
      <c r="C399" s="13"/>
      <c r="D399" s="13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/>
      <c r="Y399" s="13"/>
      <c r="Z399" s="13"/>
    </row>
    <row r="400" spans="1:26" ht="15.75" customHeight="1" x14ac:dyDescent="0.2">
      <c r="A400" s="13"/>
      <c r="B400" s="13"/>
      <c r="C400" s="13"/>
      <c r="D400" s="13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/>
      <c r="Y400" s="13"/>
      <c r="Z400" s="13"/>
    </row>
    <row r="401" spans="1:26" ht="15.75" customHeight="1" x14ac:dyDescent="0.2">
      <c r="A401" s="13"/>
      <c r="B401" s="13"/>
      <c r="C401" s="13"/>
      <c r="D401" s="13"/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/>
      <c r="Y401" s="13"/>
      <c r="Z401" s="13"/>
    </row>
    <row r="402" spans="1:26" ht="15.75" customHeight="1" x14ac:dyDescent="0.2">
      <c r="A402" s="13"/>
      <c r="B402" s="13"/>
      <c r="C402" s="13"/>
      <c r="D402" s="13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/>
      <c r="Y402" s="13"/>
      <c r="Z402" s="13"/>
    </row>
    <row r="403" spans="1:26" ht="15.75" customHeight="1" x14ac:dyDescent="0.2">
      <c r="A403" s="13"/>
      <c r="B403" s="13"/>
      <c r="C403" s="13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/>
      <c r="Y403" s="13"/>
      <c r="Z403" s="13"/>
    </row>
    <row r="404" spans="1:26" ht="15.75" customHeight="1" x14ac:dyDescent="0.2">
      <c r="A404" s="13"/>
      <c r="B404" s="13"/>
      <c r="C404" s="13"/>
      <c r="D404" s="13"/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/>
      <c r="Y404" s="13"/>
      <c r="Z404" s="13"/>
    </row>
    <row r="405" spans="1:26" ht="15.75" customHeight="1" x14ac:dyDescent="0.2">
      <c r="A405" s="13"/>
      <c r="B405" s="13"/>
      <c r="C405" s="13"/>
      <c r="D405" s="13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Y405" s="13"/>
      <c r="Z405" s="13"/>
    </row>
    <row r="406" spans="1:26" ht="15.75" customHeight="1" x14ac:dyDescent="0.2">
      <c r="A406" s="13"/>
      <c r="B406" s="13"/>
      <c r="C406" s="13"/>
      <c r="D406" s="13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/>
      <c r="Y406" s="13"/>
      <c r="Z406" s="13"/>
    </row>
    <row r="407" spans="1:26" ht="15.75" customHeight="1" x14ac:dyDescent="0.2">
      <c r="A407" s="13"/>
      <c r="B407" s="13"/>
      <c r="C407" s="13"/>
      <c r="D407" s="13"/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/>
      <c r="Y407" s="13"/>
      <c r="Z407" s="13"/>
    </row>
    <row r="408" spans="1:26" ht="15.75" customHeight="1" x14ac:dyDescent="0.2">
      <c r="A408" s="13"/>
      <c r="B408" s="13"/>
      <c r="C408" s="13"/>
      <c r="D408" s="13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/>
      <c r="Y408" s="13"/>
      <c r="Z408" s="13"/>
    </row>
    <row r="409" spans="1:26" ht="15.75" customHeight="1" x14ac:dyDescent="0.2">
      <c r="A409" s="13"/>
      <c r="B409" s="13"/>
      <c r="C409" s="13"/>
      <c r="D409" s="13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/>
      <c r="Y409" s="13"/>
      <c r="Z409" s="13"/>
    </row>
    <row r="410" spans="1:26" ht="15.75" customHeight="1" x14ac:dyDescent="0.2">
      <c r="A410" s="13"/>
      <c r="B410" s="13"/>
      <c r="C410" s="13"/>
      <c r="D410" s="13"/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/>
      <c r="Y410" s="13"/>
      <c r="Z410" s="13"/>
    </row>
    <row r="411" spans="1:26" ht="15.75" customHeight="1" x14ac:dyDescent="0.2">
      <c r="A411" s="13"/>
      <c r="B411" s="13"/>
      <c r="C411" s="13"/>
      <c r="D411" s="13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/>
      <c r="Y411" s="13"/>
      <c r="Z411" s="13"/>
    </row>
    <row r="412" spans="1:26" ht="15.75" customHeight="1" x14ac:dyDescent="0.2">
      <c r="A412" s="13"/>
      <c r="B412" s="13"/>
      <c r="C412" s="13"/>
      <c r="D412" s="13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/>
      <c r="Y412" s="13"/>
      <c r="Z412" s="13"/>
    </row>
    <row r="413" spans="1:26" ht="15.75" customHeight="1" x14ac:dyDescent="0.2">
      <c r="A413" s="13"/>
      <c r="B413" s="13"/>
      <c r="C413" s="13"/>
      <c r="D413" s="13"/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/>
      <c r="Y413" s="13"/>
      <c r="Z413" s="13"/>
    </row>
    <row r="414" spans="1:26" ht="15.75" customHeight="1" x14ac:dyDescent="0.2">
      <c r="A414" s="13"/>
      <c r="B414" s="13"/>
      <c r="C414" s="13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/>
      <c r="Y414" s="13"/>
      <c r="Z414" s="13"/>
    </row>
    <row r="415" spans="1:26" ht="15.75" customHeight="1" x14ac:dyDescent="0.2">
      <c r="A415" s="13"/>
      <c r="B415" s="13"/>
      <c r="C415" s="13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/>
      <c r="Y415" s="13"/>
      <c r="Z415" s="13"/>
    </row>
    <row r="416" spans="1:26" ht="15.75" customHeight="1" x14ac:dyDescent="0.2">
      <c r="A416" s="13"/>
      <c r="B416" s="13"/>
      <c r="C416" s="13"/>
      <c r="D416" s="13"/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/>
      <c r="Y416" s="13"/>
      <c r="Z416" s="13"/>
    </row>
    <row r="417" spans="1:26" ht="15.75" customHeight="1" x14ac:dyDescent="0.2">
      <c r="A417" s="13"/>
      <c r="B417" s="13"/>
      <c r="C417" s="13"/>
      <c r="D417" s="13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/>
      <c r="Y417" s="13"/>
      <c r="Z417" s="13"/>
    </row>
    <row r="418" spans="1:26" ht="15.75" customHeight="1" x14ac:dyDescent="0.2">
      <c r="A418" s="13"/>
      <c r="B418" s="13"/>
      <c r="C418" s="13"/>
      <c r="D418" s="13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/>
      <c r="Y418" s="13"/>
      <c r="Z418" s="13"/>
    </row>
    <row r="419" spans="1:26" ht="15.75" customHeight="1" x14ac:dyDescent="0.2">
      <c r="A419" s="13"/>
      <c r="B419" s="13"/>
      <c r="C419" s="13"/>
      <c r="D419" s="13"/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/>
      <c r="Y419" s="13"/>
      <c r="Z419" s="13"/>
    </row>
    <row r="420" spans="1:26" ht="15.75" customHeight="1" x14ac:dyDescent="0.2">
      <c r="A420" s="13"/>
      <c r="B420" s="13"/>
      <c r="C420" s="13"/>
      <c r="D420" s="13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/>
      <c r="Y420" s="13"/>
      <c r="Z420" s="13"/>
    </row>
    <row r="421" spans="1:26" ht="15.75" customHeight="1" x14ac:dyDescent="0.2">
      <c r="A421" s="13"/>
      <c r="B421" s="13"/>
      <c r="C421" s="13"/>
      <c r="D421" s="13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/>
      <c r="Y421" s="13"/>
      <c r="Z421" s="13"/>
    </row>
    <row r="422" spans="1:26" ht="15.75" customHeight="1" x14ac:dyDescent="0.2">
      <c r="A422" s="13"/>
      <c r="B422" s="13"/>
      <c r="C422" s="13"/>
      <c r="D422" s="13"/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/>
      <c r="Y422" s="13"/>
      <c r="Z422" s="13"/>
    </row>
    <row r="423" spans="1:26" ht="15.75" customHeight="1" x14ac:dyDescent="0.2">
      <c r="A423" s="13"/>
      <c r="B423" s="13"/>
      <c r="C423" s="13"/>
      <c r="D423" s="13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/>
      <c r="Y423" s="13"/>
      <c r="Z423" s="13"/>
    </row>
    <row r="424" spans="1:26" ht="15.75" customHeight="1" x14ac:dyDescent="0.2">
      <c r="A424" s="13"/>
      <c r="B424" s="13"/>
      <c r="C424" s="13"/>
      <c r="D424" s="13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/>
      <c r="Y424" s="13"/>
      <c r="Z424" s="13"/>
    </row>
    <row r="425" spans="1:26" ht="15.75" customHeight="1" x14ac:dyDescent="0.2">
      <c r="A425" s="13"/>
      <c r="B425" s="13"/>
      <c r="C425" s="13"/>
      <c r="D425" s="13"/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/>
      <c r="Y425" s="13"/>
      <c r="Z425" s="13"/>
    </row>
    <row r="426" spans="1:26" ht="15.75" customHeight="1" x14ac:dyDescent="0.2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/>
      <c r="Y426" s="13"/>
      <c r="Z426" s="13"/>
    </row>
    <row r="427" spans="1:26" ht="15.75" customHeight="1" x14ac:dyDescent="0.2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/>
      <c r="Y427" s="13"/>
      <c r="Z427" s="13"/>
    </row>
    <row r="428" spans="1:26" ht="15.75" customHeight="1" x14ac:dyDescent="0.2">
      <c r="A428" s="13"/>
      <c r="B428" s="13"/>
      <c r="C428" s="13"/>
      <c r="D428" s="13"/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/>
      <c r="Y428" s="13"/>
      <c r="Z428" s="13"/>
    </row>
    <row r="429" spans="1:26" ht="15.75" customHeight="1" x14ac:dyDescent="0.2">
      <c r="A429" s="13"/>
      <c r="B429" s="13"/>
      <c r="C429" s="13"/>
      <c r="D429" s="13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/>
      <c r="Y429" s="13"/>
      <c r="Z429" s="13"/>
    </row>
    <row r="430" spans="1:26" ht="15.75" customHeight="1" x14ac:dyDescent="0.2">
      <c r="A430" s="13"/>
      <c r="B430" s="13"/>
      <c r="C430" s="13"/>
      <c r="D430" s="13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/>
      <c r="Y430" s="13"/>
      <c r="Z430" s="13"/>
    </row>
    <row r="431" spans="1:26" ht="15.75" customHeight="1" x14ac:dyDescent="0.2">
      <c r="A431" s="13"/>
      <c r="B431" s="13"/>
      <c r="C431" s="13"/>
      <c r="D431" s="13"/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/>
      <c r="Y431" s="13"/>
      <c r="Z431" s="13"/>
    </row>
    <row r="432" spans="1:26" ht="15.75" customHeight="1" x14ac:dyDescent="0.2">
      <c r="A432" s="13"/>
      <c r="B432" s="13"/>
      <c r="C432" s="13"/>
      <c r="D432" s="13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/>
      <c r="Y432" s="13"/>
      <c r="Z432" s="13"/>
    </row>
    <row r="433" spans="1:26" ht="15.75" customHeight="1" x14ac:dyDescent="0.2">
      <c r="A433" s="13"/>
      <c r="B433" s="13"/>
      <c r="C433" s="13"/>
      <c r="D433" s="13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/>
      <c r="Y433" s="13"/>
      <c r="Z433" s="13"/>
    </row>
    <row r="434" spans="1:26" ht="15.75" customHeight="1" x14ac:dyDescent="0.2">
      <c r="A434" s="13"/>
      <c r="B434" s="13"/>
      <c r="C434" s="13"/>
      <c r="D434" s="13"/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/>
      <c r="Y434" s="13"/>
      <c r="Z434" s="13"/>
    </row>
    <row r="435" spans="1:26" ht="15.75" customHeight="1" x14ac:dyDescent="0.2">
      <c r="A435" s="13"/>
      <c r="B435" s="13"/>
      <c r="C435" s="13"/>
      <c r="D435" s="13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/>
      <c r="Y435" s="13"/>
      <c r="Z435" s="13"/>
    </row>
    <row r="436" spans="1:26" ht="15.75" customHeight="1" x14ac:dyDescent="0.2">
      <c r="A436" s="13"/>
      <c r="B436" s="13"/>
      <c r="C436" s="13"/>
      <c r="D436" s="13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/>
      <c r="Y436" s="13"/>
      <c r="Z436" s="13"/>
    </row>
    <row r="437" spans="1:26" ht="15.75" customHeight="1" x14ac:dyDescent="0.2">
      <c r="A437" s="13"/>
      <c r="B437" s="13"/>
      <c r="C437" s="13"/>
      <c r="D437" s="13"/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/>
      <c r="Y437" s="13"/>
      <c r="Z437" s="13"/>
    </row>
    <row r="438" spans="1:26" ht="15.75" customHeight="1" x14ac:dyDescent="0.2">
      <c r="A438" s="13"/>
      <c r="B438" s="13"/>
      <c r="C438" s="13"/>
      <c r="D438" s="13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/>
      <c r="Y438" s="13"/>
      <c r="Z438" s="13"/>
    </row>
    <row r="439" spans="1:26" ht="15.75" customHeight="1" x14ac:dyDescent="0.2">
      <c r="A439" s="13"/>
      <c r="B439" s="13"/>
      <c r="C439" s="13"/>
      <c r="D439" s="13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/>
      <c r="Y439" s="13"/>
      <c r="Z439" s="13"/>
    </row>
    <row r="440" spans="1:26" ht="15.75" customHeight="1" x14ac:dyDescent="0.2">
      <c r="A440" s="13"/>
      <c r="B440" s="13"/>
      <c r="C440" s="13"/>
      <c r="D440" s="13"/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/>
      <c r="Y440" s="13"/>
      <c r="Z440" s="13"/>
    </row>
    <row r="441" spans="1:26" ht="15.75" customHeight="1" x14ac:dyDescent="0.2">
      <c r="A441" s="13"/>
      <c r="B441" s="13"/>
      <c r="C441" s="13"/>
      <c r="D441" s="13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/>
      <c r="Y441" s="13"/>
      <c r="Z441" s="13"/>
    </row>
    <row r="442" spans="1:26" ht="15.75" customHeight="1" x14ac:dyDescent="0.2">
      <c r="A442" s="13"/>
      <c r="B442" s="13"/>
      <c r="C442" s="13"/>
      <c r="D442" s="13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/>
      <c r="Y442" s="13"/>
      <c r="Z442" s="13"/>
    </row>
    <row r="443" spans="1:26" ht="15.75" customHeight="1" x14ac:dyDescent="0.2">
      <c r="A443" s="13"/>
      <c r="B443" s="13"/>
      <c r="C443" s="13"/>
      <c r="D443" s="13"/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/>
      <c r="Y443" s="13"/>
      <c r="Z443" s="13"/>
    </row>
    <row r="444" spans="1:26" ht="15.75" customHeight="1" x14ac:dyDescent="0.2">
      <c r="A444" s="13"/>
      <c r="B444" s="13"/>
      <c r="C444" s="13"/>
      <c r="D444" s="13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/>
      <c r="Y444" s="13"/>
      <c r="Z444" s="13"/>
    </row>
    <row r="445" spans="1:26" ht="15.75" customHeight="1" x14ac:dyDescent="0.2">
      <c r="A445" s="13"/>
      <c r="B445" s="13"/>
      <c r="C445" s="13"/>
      <c r="D445" s="13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/>
      <c r="Y445" s="13"/>
      <c r="Z445" s="13"/>
    </row>
    <row r="446" spans="1:26" ht="15.75" customHeight="1" x14ac:dyDescent="0.2">
      <c r="A446" s="13"/>
      <c r="B446" s="13"/>
      <c r="C446" s="13"/>
      <c r="D446" s="13"/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/>
      <c r="Y446" s="13"/>
      <c r="Z446" s="13"/>
    </row>
    <row r="447" spans="1:26" ht="15.75" customHeight="1" x14ac:dyDescent="0.2">
      <c r="A447" s="13"/>
      <c r="B447" s="13"/>
      <c r="C447" s="13"/>
      <c r="D447" s="13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/>
      <c r="Y447" s="13"/>
      <c r="Z447" s="13"/>
    </row>
    <row r="448" spans="1:26" ht="15.75" customHeight="1" x14ac:dyDescent="0.2">
      <c r="A448" s="13"/>
      <c r="B448" s="13"/>
      <c r="C448" s="13"/>
      <c r="D448" s="13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/>
      <c r="Y448" s="13"/>
      <c r="Z448" s="13"/>
    </row>
    <row r="449" spans="1:26" ht="15.75" customHeight="1" x14ac:dyDescent="0.2">
      <c r="A449" s="13"/>
      <c r="B449" s="13"/>
      <c r="C449" s="13"/>
      <c r="D449" s="13"/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/>
      <c r="Y449" s="13"/>
      <c r="Z449" s="13"/>
    </row>
    <row r="450" spans="1:26" ht="15.75" customHeight="1" x14ac:dyDescent="0.2">
      <c r="A450" s="13"/>
      <c r="B450" s="13"/>
      <c r="C450" s="13"/>
      <c r="D450" s="13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/>
      <c r="Y450" s="13"/>
      <c r="Z450" s="13"/>
    </row>
    <row r="451" spans="1:26" ht="15.75" customHeight="1" x14ac:dyDescent="0.2">
      <c r="A451" s="13"/>
      <c r="B451" s="13"/>
      <c r="C451" s="13"/>
      <c r="D451" s="13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/>
      <c r="Y451" s="13"/>
      <c r="Z451" s="13"/>
    </row>
    <row r="452" spans="1:26" ht="15.75" customHeight="1" x14ac:dyDescent="0.2">
      <c r="A452" s="13"/>
      <c r="B452" s="13"/>
      <c r="C452" s="13"/>
      <c r="D452" s="13"/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/>
      <c r="Y452" s="13"/>
      <c r="Z452" s="13"/>
    </row>
    <row r="453" spans="1:26" ht="15.75" customHeight="1" x14ac:dyDescent="0.2">
      <c r="A453" s="13"/>
      <c r="B453" s="13"/>
      <c r="C453" s="13"/>
      <c r="D453" s="13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/>
      <c r="Y453" s="13"/>
      <c r="Z453" s="13"/>
    </row>
    <row r="454" spans="1:26" ht="15.75" customHeight="1" x14ac:dyDescent="0.2">
      <c r="A454" s="13"/>
      <c r="B454" s="13"/>
      <c r="C454" s="13"/>
      <c r="D454" s="13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/>
      <c r="Y454" s="13"/>
      <c r="Z454" s="13"/>
    </row>
    <row r="455" spans="1:26" ht="15.75" customHeight="1" x14ac:dyDescent="0.2">
      <c r="A455" s="13"/>
      <c r="B455" s="13"/>
      <c r="C455" s="13"/>
      <c r="D455" s="13"/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/>
      <c r="Y455" s="13"/>
      <c r="Z455" s="13"/>
    </row>
    <row r="456" spans="1:26" ht="15.75" customHeight="1" x14ac:dyDescent="0.2">
      <c r="A456" s="13"/>
      <c r="B456" s="13"/>
      <c r="C456" s="13"/>
      <c r="D456" s="13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/>
      <c r="Y456" s="13"/>
      <c r="Z456" s="13"/>
    </row>
    <row r="457" spans="1:26" ht="15.75" customHeight="1" x14ac:dyDescent="0.2">
      <c r="A457" s="13"/>
      <c r="B457" s="13"/>
      <c r="C457" s="13"/>
      <c r="D457" s="13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/>
      <c r="Y457" s="13"/>
      <c r="Z457" s="13"/>
    </row>
    <row r="458" spans="1:26" ht="15.75" customHeight="1" x14ac:dyDescent="0.2">
      <c r="A458" s="13"/>
      <c r="B458" s="13"/>
      <c r="C458" s="13"/>
      <c r="D458" s="13"/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/>
      <c r="Y458" s="13"/>
      <c r="Z458" s="13"/>
    </row>
    <row r="459" spans="1:26" ht="15.75" customHeight="1" x14ac:dyDescent="0.2">
      <c r="A459" s="13"/>
      <c r="B459" s="13"/>
      <c r="C459" s="13"/>
      <c r="D459" s="13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/>
      <c r="Y459" s="13"/>
      <c r="Z459" s="13"/>
    </row>
    <row r="460" spans="1:26" ht="15.75" customHeight="1" x14ac:dyDescent="0.2">
      <c r="A460" s="13"/>
      <c r="B460" s="13"/>
      <c r="C460" s="13"/>
      <c r="D460" s="13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/>
      <c r="Y460" s="13"/>
      <c r="Z460" s="13"/>
    </row>
    <row r="461" spans="1:26" ht="15.75" customHeight="1" x14ac:dyDescent="0.2">
      <c r="A461" s="13"/>
      <c r="B461" s="13"/>
      <c r="C461" s="13"/>
      <c r="D461" s="13"/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/>
      <c r="Y461" s="13"/>
      <c r="Z461" s="13"/>
    </row>
    <row r="462" spans="1:26" ht="15.75" customHeight="1" x14ac:dyDescent="0.2">
      <c r="A462" s="13"/>
      <c r="B462" s="13"/>
      <c r="C462" s="13"/>
      <c r="D462" s="13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/>
      <c r="Y462" s="13"/>
      <c r="Z462" s="13"/>
    </row>
    <row r="463" spans="1:26" ht="15.75" customHeight="1" x14ac:dyDescent="0.2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</row>
    <row r="464" spans="1:26" ht="15.75" customHeight="1" x14ac:dyDescent="0.2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</row>
    <row r="465" spans="1:26" ht="15.75" customHeight="1" x14ac:dyDescent="0.2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</row>
    <row r="466" spans="1:26" ht="15.75" customHeight="1" x14ac:dyDescent="0.2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</row>
    <row r="467" spans="1:26" ht="15.75" customHeight="1" x14ac:dyDescent="0.2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</row>
    <row r="468" spans="1:26" ht="15.75" customHeight="1" x14ac:dyDescent="0.2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</row>
    <row r="469" spans="1:26" ht="15.75" customHeight="1" x14ac:dyDescent="0.2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</row>
    <row r="470" spans="1:26" ht="15.75" customHeight="1" x14ac:dyDescent="0.2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</row>
    <row r="471" spans="1:26" ht="15.75" customHeight="1" x14ac:dyDescent="0.2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</row>
    <row r="472" spans="1:26" ht="15.75" customHeight="1" x14ac:dyDescent="0.2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</row>
    <row r="473" spans="1:26" ht="15.75" customHeight="1" x14ac:dyDescent="0.2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</row>
    <row r="474" spans="1:26" ht="15.75" customHeight="1" x14ac:dyDescent="0.2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</row>
    <row r="475" spans="1:26" ht="15.75" customHeight="1" x14ac:dyDescent="0.2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</row>
    <row r="476" spans="1:26" ht="15.75" customHeight="1" x14ac:dyDescent="0.2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</row>
    <row r="477" spans="1:26" ht="15.75" customHeight="1" x14ac:dyDescent="0.2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</row>
    <row r="478" spans="1:26" ht="15.75" customHeight="1" x14ac:dyDescent="0.2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</row>
    <row r="479" spans="1:26" ht="15.75" customHeight="1" x14ac:dyDescent="0.2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</row>
    <row r="480" spans="1:26" ht="15.75" customHeight="1" x14ac:dyDescent="0.2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</row>
    <row r="481" spans="1:26" ht="15.75" customHeight="1" x14ac:dyDescent="0.2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</row>
    <row r="482" spans="1:26" ht="15.75" customHeight="1" x14ac:dyDescent="0.2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</row>
    <row r="483" spans="1:26" ht="15.75" customHeight="1" x14ac:dyDescent="0.2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</row>
    <row r="484" spans="1:26" ht="15.75" customHeight="1" x14ac:dyDescent="0.2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</row>
    <row r="485" spans="1:26" ht="15.75" customHeight="1" x14ac:dyDescent="0.2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</row>
    <row r="486" spans="1:26" ht="15.75" customHeight="1" x14ac:dyDescent="0.2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</row>
    <row r="487" spans="1:26" ht="15.75" customHeight="1" x14ac:dyDescent="0.2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</row>
    <row r="488" spans="1:26" ht="15.75" customHeight="1" x14ac:dyDescent="0.2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</row>
    <row r="489" spans="1:26" ht="15.75" customHeight="1" x14ac:dyDescent="0.2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</row>
    <row r="490" spans="1:26" ht="15.75" customHeight="1" x14ac:dyDescent="0.2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</row>
    <row r="491" spans="1:26" ht="15.75" customHeight="1" x14ac:dyDescent="0.2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</row>
    <row r="492" spans="1:26" ht="15.75" customHeight="1" x14ac:dyDescent="0.2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</row>
    <row r="493" spans="1:26" ht="15.75" customHeight="1" x14ac:dyDescent="0.2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</row>
    <row r="494" spans="1:26" ht="15.75" customHeight="1" x14ac:dyDescent="0.2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</row>
    <row r="495" spans="1:26" ht="15.75" customHeight="1" x14ac:dyDescent="0.2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</row>
    <row r="496" spans="1:26" ht="15.75" customHeight="1" x14ac:dyDescent="0.2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</row>
    <row r="497" spans="1:26" ht="15.75" customHeight="1" x14ac:dyDescent="0.2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</row>
    <row r="498" spans="1:26" ht="15.75" customHeight="1" x14ac:dyDescent="0.2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</row>
    <row r="499" spans="1:26" ht="15.75" customHeight="1" x14ac:dyDescent="0.2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</row>
    <row r="500" spans="1:26" ht="15.75" customHeight="1" x14ac:dyDescent="0.2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</row>
    <row r="501" spans="1:26" ht="15.75" customHeight="1" x14ac:dyDescent="0.2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</row>
    <row r="502" spans="1:26" ht="15.75" customHeight="1" x14ac:dyDescent="0.2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</row>
    <row r="503" spans="1:26" ht="15.75" customHeight="1" x14ac:dyDescent="0.2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</row>
    <row r="504" spans="1:26" ht="15.75" customHeight="1" x14ac:dyDescent="0.2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</row>
    <row r="505" spans="1:26" ht="15.75" customHeight="1" x14ac:dyDescent="0.2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</row>
    <row r="506" spans="1:26" ht="15.75" customHeight="1" x14ac:dyDescent="0.2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</row>
    <row r="507" spans="1:26" ht="15.75" customHeight="1" x14ac:dyDescent="0.2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</row>
    <row r="508" spans="1:26" ht="15.75" customHeight="1" x14ac:dyDescent="0.2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</row>
    <row r="509" spans="1:26" ht="15.75" customHeight="1" x14ac:dyDescent="0.2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</row>
    <row r="510" spans="1:26" ht="15.75" customHeight="1" x14ac:dyDescent="0.2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</row>
    <row r="511" spans="1:26" ht="15.75" customHeight="1" x14ac:dyDescent="0.2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</row>
    <row r="512" spans="1:26" ht="15.75" customHeight="1" x14ac:dyDescent="0.2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</row>
    <row r="513" spans="1:26" ht="15.75" customHeight="1" x14ac:dyDescent="0.2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</row>
    <row r="514" spans="1:26" ht="15.75" customHeight="1" x14ac:dyDescent="0.2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</row>
    <row r="515" spans="1:26" ht="15.75" customHeight="1" x14ac:dyDescent="0.2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</row>
    <row r="516" spans="1:26" ht="15.75" customHeight="1" x14ac:dyDescent="0.2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</row>
    <row r="517" spans="1:26" ht="15.75" customHeight="1" x14ac:dyDescent="0.2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</row>
    <row r="518" spans="1:26" ht="15.75" customHeight="1" x14ac:dyDescent="0.2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</row>
    <row r="519" spans="1:26" ht="15.75" customHeight="1" x14ac:dyDescent="0.2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</row>
    <row r="520" spans="1:26" ht="15.75" customHeight="1" x14ac:dyDescent="0.2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</row>
    <row r="521" spans="1:26" ht="15.75" customHeight="1" x14ac:dyDescent="0.2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</row>
    <row r="522" spans="1:26" ht="15.75" customHeight="1" x14ac:dyDescent="0.2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</row>
    <row r="523" spans="1:26" ht="15.75" customHeight="1" x14ac:dyDescent="0.2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</row>
    <row r="524" spans="1:26" ht="15.75" customHeight="1" x14ac:dyDescent="0.2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</row>
    <row r="525" spans="1:26" ht="15.75" customHeight="1" x14ac:dyDescent="0.2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</row>
    <row r="526" spans="1:26" ht="15.75" customHeight="1" x14ac:dyDescent="0.2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</row>
    <row r="527" spans="1:26" ht="15.75" customHeight="1" x14ac:dyDescent="0.2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</row>
    <row r="528" spans="1:26" ht="15.75" customHeight="1" x14ac:dyDescent="0.2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</row>
    <row r="529" spans="1:26" ht="15.75" customHeight="1" x14ac:dyDescent="0.2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</row>
    <row r="530" spans="1:26" ht="15.75" customHeight="1" x14ac:dyDescent="0.2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</row>
    <row r="531" spans="1:26" ht="15.75" customHeight="1" x14ac:dyDescent="0.2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</row>
    <row r="532" spans="1:26" ht="15.75" customHeight="1" x14ac:dyDescent="0.2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</row>
    <row r="533" spans="1:26" ht="15.75" customHeight="1" x14ac:dyDescent="0.2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</row>
    <row r="534" spans="1:26" ht="15.75" customHeight="1" x14ac:dyDescent="0.2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</row>
    <row r="535" spans="1:26" ht="15.75" customHeight="1" x14ac:dyDescent="0.2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</row>
    <row r="536" spans="1:26" ht="15.75" customHeight="1" x14ac:dyDescent="0.2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</row>
    <row r="537" spans="1:26" ht="15.75" customHeight="1" x14ac:dyDescent="0.2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</row>
    <row r="538" spans="1:26" ht="15.75" customHeight="1" x14ac:dyDescent="0.2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</row>
    <row r="539" spans="1:26" ht="15.75" customHeight="1" x14ac:dyDescent="0.2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</row>
    <row r="540" spans="1:26" ht="15.75" customHeight="1" x14ac:dyDescent="0.2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</row>
    <row r="541" spans="1:26" ht="15.75" customHeight="1" x14ac:dyDescent="0.2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</row>
    <row r="542" spans="1:26" ht="15.75" customHeight="1" x14ac:dyDescent="0.2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</row>
    <row r="543" spans="1:26" ht="15.75" customHeight="1" x14ac:dyDescent="0.2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</row>
    <row r="544" spans="1:26" ht="15.75" customHeight="1" x14ac:dyDescent="0.2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</row>
    <row r="545" spans="1:26" ht="15.75" customHeight="1" x14ac:dyDescent="0.2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</row>
    <row r="546" spans="1:26" ht="15.75" customHeight="1" x14ac:dyDescent="0.2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</row>
    <row r="547" spans="1:26" ht="15.75" customHeight="1" x14ac:dyDescent="0.2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</row>
    <row r="548" spans="1:26" ht="15.75" customHeight="1" x14ac:dyDescent="0.2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</row>
    <row r="549" spans="1:26" ht="15.75" customHeight="1" x14ac:dyDescent="0.2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</row>
    <row r="550" spans="1:26" ht="15.75" customHeight="1" x14ac:dyDescent="0.2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</row>
    <row r="551" spans="1:26" ht="15.75" customHeight="1" x14ac:dyDescent="0.2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</row>
    <row r="552" spans="1:26" ht="15.75" customHeight="1" x14ac:dyDescent="0.2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</row>
    <row r="553" spans="1:26" ht="15.75" customHeight="1" x14ac:dyDescent="0.2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</row>
    <row r="554" spans="1:26" ht="15.75" customHeight="1" x14ac:dyDescent="0.2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</row>
    <row r="555" spans="1:26" ht="15.75" customHeight="1" x14ac:dyDescent="0.2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</row>
    <row r="556" spans="1:26" ht="15.75" customHeight="1" x14ac:dyDescent="0.2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</row>
    <row r="557" spans="1:26" ht="15.75" customHeight="1" x14ac:dyDescent="0.2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</row>
    <row r="558" spans="1:26" ht="15.75" customHeight="1" x14ac:dyDescent="0.2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</row>
    <row r="559" spans="1:26" ht="15.75" customHeight="1" x14ac:dyDescent="0.2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</row>
    <row r="560" spans="1:26" ht="15.75" customHeight="1" x14ac:dyDescent="0.2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</row>
    <row r="561" spans="1:26" ht="15.75" customHeight="1" x14ac:dyDescent="0.2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</row>
    <row r="562" spans="1:26" ht="15.75" customHeight="1" x14ac:dyDescent="0.2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</row>
    <row r="563" spans="1:26" ht="15.75" customHeight="1" x14ac:dyDescent="0.2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</row>
    <row r="564" spans="1:26" ht="15.75" customHeight="1" x14ac:dyDescent="0.2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</row>
    <row r="565" spans="1:26" ht="15.75" customHeight="1" x14ac:dyDescent="0.2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</row>
    <row r="566" spans="1:26" ht="15.75" customHeight="1" x14ac:dyDescent="0.2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</row>
    <row r="567" spans="1:26" ht="15.75" customHeight="1" x14ac:dyDescent="0.2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</row>
    <row r="568" spans="1:26" ht="15.75" customHeight="1" x14ac:dyDescent="0.2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</row>
    <row r="569" spans="1:26" ht="15.75" customHeight="1" x14ac:dyDescent="0.2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</row>
    <row r="570" spans="1:26" ht="15.75" customHeight="1" x14ac:dyDescent="0.2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</row>
    <row r="571" spans="1:26" ht="15.75" customHeight="1" x14ac:dyDescent="0.2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</row>
    <row r="572" spans="1:26" ht="15.75" customHeight="1" x14ac:dyDescent="0.2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</row>
    <row r="573" spans="1:26" ht="15.75" customHeight="1" x14ac:dyDescent="0.2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</row>
    <row r="574" spans="1:26" ht="15.75" customHeight="1" x14ac:dyDescent="0.2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</row>
    <row r="575" spans="1:26" ht="15.75" customHeight="1" x14ac:dyDescent="0.2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</row>
    <row r="576" spans="1:26" ht="15.75" customHeight="1" x14ac:dyDescent="0.2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</row>
    <row r="577" spans="1:26" ht="15.75" customHeight="1" x14ac:dyDescent="0.2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</row>
    <row r="578" spans="1:26" ht="15.75" customHeight="1" x14ac:dyDescent="0.2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</row>
    <row r="579" spans="1:26" ht="15.75" customHeight="1" x14ac:dyDescent="0.2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</row>
    <row r="580" spans="1:26" ht="15.75" customHeight="1" x14ac:dyDescent="0.2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</row>
    <row r="581" spans="1:26" ht="15.75" customHeight="1" x14ac:dyDescent="0.2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</row>
    <row r="582" spans="1:26" ht="15.75" customHeight="1" x14ac:dyDescent="0.2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</row>
    <row r="583" spans="1:26" ht="15.75" customHeight="1" x14ac:dyDescent="0.2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</row>
    <row r="584" spans="1:26" ht="15.75" customHeight="1" x14ac:dyDescent="0.2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</row>
    <row r="585" spans="1:26" ht="15.75" customHeight="1" x14ac:dyDescent="0.2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</row>
    <row r="586" spans="1:26" ht="15.75" customHeight="1" x14ac:dyDescent="0.2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</row>
    <row r="587" spans="1:26" ht="15.75" customHeight="1" x14ac:dyDescent="0.2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</row>
    <row r="588" spans="1:26" ht="15.75" customHeight="1" x14ac:dyDescent="0.2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</row>
    <row r="589" spans="1:26" ht="15.75" customHeight="1" x14ac:dyDescent="0.2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</row>
    <row r="590" spans="1:26" ht="15.75" customHeight="1" x14ac:dyDescent="0.2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</row>
    <row r="591" spans="1:26" ht="15.75" customHeight="1" x14ac:dyDescent="0.2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</row>
    <row r="592" spans="1:26" ht="15.75" customHeight="1" x14ac:dyDescent="0.2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</row>
    <row r="593" spans="1:26" ht="15.75" customHeight="1" x14ac:dyDescent="0.2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</row>
    <row r="594" spans="1:26" ht="15.75" customHeight="1" x14ac:dyDescent="0.2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</row>
    <row r="595" spans="1:26" ht="15.75" customHeight="1" x14ac:dyDescent="0.2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</row>
    <row r="596" spans="1:26" ht="15.75" customHeight="1" x14ac:dyDescent="0.2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</row>
    <row r="597" spans="1:26" ht="15.75" customHeight="1" x14ac:dyDescent="0.2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</row>
    <row r="598" spans="1:26" ht="15.75" customHeight="1" x14ac:dyDescent="0.2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</row>
    <row r="599" spans="1:26" ht="15.75" customHeight="1" x14ac:dyDescent="0.2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</row>
    <row r="600" spans="1:26" ht="15.75" customHeight="1" x14ac:dyDescent="0.2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</row>
    <row r="601" spans="1:26" ht="15.75" customHeight="1" x14ac:dyDescent="0.2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</row>
    <row r="602" spans="1:26" ht="15.75" customHeight="1" x14ac:dyDescent="0.2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</row>
    <row r="603" spans="1:26" ht="15.75" customHeight="1" x14ac:dyDescent="0.2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</row>
    <row r="604" spans="1:26" ht="15.75" customHeight="1" x14ac:dyDescent="0.2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</row>
    <row r="605" spans="1:26" ht="15.75" customHeight="1" x14ac:dyDescent="0.2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</row>
    <row r="606" spans="1:26" ht="15.75" customHeight="1" x14ac:dyDescent="0.2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</row>
    <row r="607" spans="1:26" ht="15.75" customHeight="1" x14ac:dyDescent="0.2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</row>
    <row r="608" spans="1:26" ht="15.75" customHeight="1" x14ac:dyDescent="0.2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</row>
    <row r="609" spans="1:26" ht="15.75" customHeight="1" x14ac:dyDescent="0.2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</row>
    <row r="610" spans="1:26" ht="15.75" customHeight="1" x14ac:dyDescent="0.2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</row>
    <row r="611" spans="1:26" ht="15.75" customHeight="1" x14ac:dyDescent="0.2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</row>
    <row r="612" spans="1:26" ht="15.75" customHeight="1" x14ac:dyDescent="0.2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</row>
    <row r="613" spans="1:26" ht="15.75" customHeight="1" x14ac:dyDescent="0.2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</row>
    <row r="614" spans="1:26" ht="15.75" customHeight="1" x14ac:dyDescent="0.2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</row>
    <row r="615" spans="1:26" ht="15.75" customHeight="1" x14ac:dyDescent="0.2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</row>
    <row r="616" spans="1:26" ht="15.75" customHeight="1" x14ac:dyDescent="0.2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</row>
    <row r="617" spans="1:26" ht="15.75" customHeight="1" x14ac:dyDescent="0.2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</row>
    <row r="618" spans="1:26" ht="15.75" customHeight="1" x14ac:dyDescent="0.2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</row>
    <row r="619" spans="1:26" ht="15.75" customHeight="1" x14ac:dyDescent="0.2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</row>
    <row r="620" spans="1:26" ht="15.75" customHeight="1" x14ac:dyDescent="0.2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</row>
    <row r="621" spans="1:26" ht="15.75" customHeight="1" x14ac:dyDescent="0.2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</row>
    <row r="622" spans="1:26" ht="15.75" customHeight="1" x14ac:dyDescent="0.2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</row>
    <row r="623" spans="1:26" ht="15.75" customHeight="1" x14ac:dyDescent="0.2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</row>
    <row r="624" spans="1:26" ht="15.75" customHeight="1" x14ac:dyDescent="0.2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</row>
    <row r="625" spans="1:26" ht="15.75" customHeight="1" x14ac:dyDescent="0.2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</row>
    <row r="626" spans="1:26" ht="15.75" customHeight="1" x14ac:dyDescent="0.2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</row>
    <row r="627" spans="1:26" ht="15.75" customHeight="1" x14ac:dyDescent="0.2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</row>
    <row r="628" spans="1:26" ht="15.75" customHeight="1" x14ac:dyDescent="0.2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</row>
    <row r="629" spans="1:26" ht="15.75" customHeight="1" x14ac:dyDescent="0.2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</row>
    <row r="630" spans="1:26" ht="15.75" customHeight="1" x14ac:dyDescent="0.2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</row>
    <row r="631" spans="1:26" ht="15.75" customHeight="1" x14ac:dyDescent="0.2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</row>
    <row r="632" spans="1:26" ht="15.75" customHeight="1" x14ac:dyDescent="0.2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</row>
    <row r="633" spans="1:26" ht="15.75" customHeight="1" x14ac:dyDescent="0.2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</row>
    <row r="634" spans="1:26" ht="15.75" customHeight="1" x14ac:dyDescent="0.2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</row>
    <row r="635" spans="1:26" ht="15.75" customHeight="1" x14ac:dyDescent="0.2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</row>
    <row r="636" spans="1:26" ht="15.75" customHeight="1" x14ac:dyDescent="0.2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</row>
    <row r="637" spans="1:26" ht="15.75" customHeight="1" x14ac:dyDescent="0.2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</row>
    <row r="638" spans="1:26" ht="15.75" customHeight="1" x14ac:dyDescent="0.2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</row>
    <row r="639" spans="1:26" ht="15.75" customHeight="1" x14ac:dyDescent="0.2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</row>
    <row r="640" spans="1:26" ht="15.75" customHeight="1" x14ac:dyDescent="0.2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</row>
    <row r="641" spans="1:26" ht="15.75" customHeight="1" x14ac:dyDescent="0.2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</row>
    <row r="642" spans="1:26" ht="15.75" customHeight="1" x14ac:dyDescent="0.2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</row>
    <row r="643" spans="1:26" ht="15.75" customHeight="1" x14ac:dyDescent="0.2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</row>
    <row r="644" spans="1:26" ht="15.75" customHeight="1" x14ac:dyDescent="0.2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</row>
    <row r="645" spans="1:26" ht="15.75" customHeight="1" x14ac:dyDescent="0.2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</row>
    <row r="646" spans="1:26" ht="15.75" customHeight="1" x14ac:dyDescent="0.2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</row>
    <row r="647" spans="1:26" ht="15.75" customHeight="1" x14ac:dyDescent="0.2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</row>
    <row r="648" spans="1:26" ht="15.75" customHeight="1" x14ac:dyDescent="0.2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</row>
    <row r="649" spans="1:26" ht="15.75" customHeight="1" x14ac:dyDescent="0.2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</row>
    <row r="650" spans="1:26" ht="15.75" customHeight="1" x14ac:dyDescent="0.2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</row>
    <row r="651" spans="1:26" ht="15.75" customHeight="1" x14ac:dyDescent="0.2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</row>
    <row r="652" spans="1:26" ht="15.75" customHeight="1" x14ac:dyDescent="0.2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</row>
    <row r="653" spans="1:26" ht="15.75" customHeight="1" x14ac:dyDescent="0.2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</row>
    <row r="654" spans="1:26" ht="15.75" customHeight="1" x14ac:dyDescent="0.2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</row>
    <row r="655" spans="1:26" ht="15.75" customHeight="1" x14ac:dyDescent="0.2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</row>
    <row r="656" spans="1:26" ht="15.75" customHeight="1" x14ac:dyDescent="0.2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</row>
    <row r="657" spans="1:26" ht="15.75" customHeight="1" x14ac:dyDescent="0.2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</row>
    <row r="658" spans="1:26" ht="15.75" customHeight="1" x14ac:dyDescent="0.2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</row>
    <row r="659" spans="1:26" ht="15.75" customHeight="1" x14ac:dyDescent="0.2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</row>
    <row r="660" spans="1:26" ht="15.75" customHeight="1" x14ac:dyDescent="0.2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</row>
    <row r="661" spans="1:26" ht="15.75" customHeight="1" x14ac:dyDescent="0.2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</row>
    <row r="662" spans="1:26" ht="15.75" customHeight="1" x14ac:dyDescent="0.2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</row>
    <row r="663" spans="1:26" ht="15.75" customHeight="1" x14ac:dyDescent="0.2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</row>
    <row r="664" spans="1:26" ht="15.75" customHeight="1" x14ac:dyDescent="0.2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</row>
    <row r="665" spans="1:26" ht="15.75" customHeight="1" x14ac:dyDescent="0.2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</row>
    <row r="666" spans="1:26" ht="15.75" customHeight="1" x14ac:dyDescent="0.2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</row>
    <row r="667" spans="1:26" ht="15.75" customHeight="1" x14ac:dyDescent="0.2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</row>
    <row r="668" spans="1:26" ht="15.75" customHeight="1" x14ac:dyDescent="0.2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</row>
    <row r="669" spans="1:26" ht="15.75" customHeight="1" x14ac:dyDescent="0.2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</row>
    <row r="670" spans="1:26" ht="15.75" customHeight="1" x14ac:dyDescent="0.2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</row>
    <row r="671" spans="1:26" ht="15.75" customHeight="1" x14ac:dyDescent="0.2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</row>
    <row r="672" spans="1:26" ht="15.75" customHeight="1" x14ac:dyDescent="0.2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</row>
    <row r="673" spans="1:26" ht="15.75" customHeight="1" x14ac:dyDescent="0.2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</row>
    <row r="674" spans="1:26" ht="15.75" customHeight="1" x14ac:dyDescent="0.2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</row>
    <row r="675" spans="1:26" ht="15.75" customHeight="1" x14ac:dyDescent="0.2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</row>
    <row r="676" spans="1:26" ht="15.75" customHeight="1" x14ac:dyDescent="0.2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</row>
    <row r="677" spans="1:26" ht="15.75" customHeight="1" x14ac:dyDescent="0.2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</row>
    <row r="678" spans="1:26" ht="15.75" customHeight="1" x14ac:dyDescent="0.2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</row>
    <row r="679" spans="1:26" ht="15.75" customHeight="1" x14ac:dyDescent="0.2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</row>
    <row r="680" spans="1:26" ht="15.75" customHeight="1" x14ac:dyDescent="0.2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</row>
    <row r="681" spans="1:26" ht="15.75" customHeight="1" x14ac:dyDescent="0.2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</row>
    <row r="682" spans="1:26" ht="15.75" customHeight="1" x14ac:dyDescent="0.2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</row>
    <row r="683" spans="1:26" ht="15.75" customHeight="1" x14ac:dyDescent="0.2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</row>
    <row r="684" spans="1:26" ht="15.75" customHeight="1" x14ac:dyDescent="0.2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</row>
    <row r="685" spans="1:26" ht="15.75" customHeight="1" x14ac:dyDescent="0.2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</row>
    <row r="686" spans="1:26" ht="15.75" customHeight="1" x14ac:dyDescent="0.2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</row>
    <row r="687" spans="1:26" ht="15.75" customHeight="1" x14ac:dyDescent="0.2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</row>
    <row r="688" spans="1:26" ht="15.75" customHeight="1" x14ac:dyDescent="0.2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</row>
    <row r="689" spans="1:26" ht="15.75" customHeight="1" x14ac:dyDescent="0.2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</row>
    <row r="690" spans="1:26" ht="15.75" customHeight="1" x14ac:dyDescent="0.2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</row>
    <row r="691" spans="1:26" ht="15.75" customHeight="1" x14ac:dyDescent="0.2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</row>
    <row r="692" spans="1:26" ht="15.75" customHeight="1" x14ac:dyDescent="0.2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</row>
    <row r="693" spans="1:26" ht="15.75" customHeight="1" x14ac:dyDescent="0.2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</row>
    <row r="694" spans="1:26" ht="15.75" customHeight="1" x14ac:dyDescent="0.2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</row>
    <row r="695" spans="1:26" ht="15.75" customHeight="1" x14ac:dyDescent="0.2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</row>
    <row r="696" spans="1:26" ht="15.75" customHeight="1" x14ac:dyDescent="0.2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</row>
    <row r="697" spans="1:26" ht="15.75" customHeight="1" x14ac:dyDescent="0.2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</row>
    <row r="698" spans="1:26" ht="15.75" customHeight="1" x14ac:dyDescent="0.2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</row>
    <row r="699" spans="1:26" ht="15.75" customHeight="1" x14ac:dyDescent="0.2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</row>
    <row r="700" spans="1:26" ht="15.75" customHeight="1" x14ac:dyDescent="0.2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</row>
    <row r="701" spans="1:26" ht="15.75" customHeight="1" x14ac:dyDescent="0.2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</row>
    <row r="702" spans="1:26" ht="15.75" customHeight="1" x14ac:dyDescent="0.2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</row>
    <row r="703" spans="1:26" ht="15.75" customHeight="1" x14ac:dyDescent="0.2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</row>
    <row r="704" spans="1:26" ht="15.75" customHeight="1" x14ac:dyDescent="0.2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</row>
    <row r="705" spans="1:26" ht="15.75" customHeight="1" x14ac:dyDescent="0.2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</row>
    <row r="706" spans="1:26" ht="15.75" customHeight="1" x14ac:dyDescent="0.2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</row>
    <row r="707" spans="1:26" ht="15.75" customHeight="1" x14ac:dyDescent="0.2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</row>
    <row r="708" spans="1:26" ht="15.75" customHeight="1" x14ac:dyDescent="0.2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</row>
    <row r="709" spans="1:26" ht="15.75" customHeight="1" x14ac:dyDescent="0.2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</row>
    <row r="710" spans="1:26" ht="15.75" customHeight="1" x14ac:dyDescent="0.2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</row>
    <row r="711" spans="1:26" ht="15.75" customHeight="1" x14ac:dyDescent="0.2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</row>
    <row r="712" spans="1:26" ht="15.75" customHeight="1" x14ac:dyDescent="0.2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</row>
    <row r="713" spans="1:26" ht="15.75" customHeight="1" x14ac:dyDescent="0.2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</row>
    <row r="714" spans="1:26" ht="15.75" customHeight="1" x14ac:dyDescent="0.2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</row>
    <row r="715" spans="1:26" ht="15.75" customHeight="1" x14ac:dyDescent="0.2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</row>
    <row r="716" spans="1:26" ht="15.75" customHeight="1" x14ac:dyDescent="0.2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</row>
    <row r="717" spans="1:26" ht="15.75" customHeight="1" x14ac:dyDescent="0.2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</row>
    <row r="718" spans="1:26" ht="15.75" customHeight="1" x14ac:dyDescent="0.2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</row>
    <row r="719" spans="1:26" ht="15.75" customHeight="1" x14ac:dyDescent="0.2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</row>
    <row r="720" spans="1:26" ht="15.75" customHeight="1" x14ac:dyDescent="0.2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</row>
    <row r="721" spans="1:26" ht="15.75" customHeight="1" x14ac:dyDescent="0.2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</row>
    <row r="722" spans="1:26" ht="15.75" customHeight="1" x14ac:dyDescent="0.2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</row>
    <row r="723" spans="1:26" ht="15.75" customHeight="1" x14ac:dyDescent="0.2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</row>
    <row r="724" spans="1:26" ht="15.75" customHeight="1" x14ac:dyDescent="0.2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</row>
    <row r="725" spans="1:26" ht="15.75" customHeight="1" x14ac:dyDescent="0.2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</row>
    <row r="726" spans="1:26" ht="15.75" customHeight="1" x14ac:dyDescent="0.2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</row>
    <row r="727" spans="1:26" ht="15.75" customHeight="1" x14ac:dyDescent="0.2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</row>
    <row r="728" spans="1:26" ht="15.75" customHeight="1" x14ac:dyDescent="0.2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</row>
    <row r="729" spans="1:26" ht="15.75" customHeight="1" x14ac:dyDescent="0.2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</row>
    <row r="730" spans="1:26" ht="15.75" customHeight="1" x14ac:dyDescent="0.2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</row>
    <row r="731" spans="1:26" ht="15.75" customHeight="1" x14ac:dyDescent="0.2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</row>
    <row r="732" spans="1:26" ht="15.75" customHeight="1" x14ac:dyDescent="0.2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</row>
    <row r="733" spans="1:26" ht="15.75" customHeight="1" x14ac:dyDescent="0.2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</row>
    <row r="734" spans="1:26" ht="15.75" customHeight="1" x14ac:dyDescent="0.2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</row>
    <row r="735" spans="1:26" ht="15.75" customHeight="1" x14ac:dyDescent="0.2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</row>
    <row r="736" spans="1:26" ht="15.75" customHeight="1" x14ac:dyDescent="0.2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</row>
    <row r="737" spans="1:26" ht="15.75" customHeight="1" x14ac:dyDescent="0.2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</row>
    <row r="738" spans="1:26" ht="15.75" customHeight="1" x14ac:dyDescent="0.2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</row>
    <row r="739" spans="1:26" ht="15.75" customHeight="1" x14ac:dyDescent="0.2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</row>
    <row r="740" spans="1:26" ht="15.75" customHeight="1" x14ac:dyDescent="0.2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</row>
    <row r="741" spans="1:26" ht="15.75" customHeight="1" x14ac:dyDescent="0.2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</row>
    <row r="742" spans="1:26" ht="15.75" customHeight="1" x14ac:dyDescent="0.2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</row>
    <row r="743" spans="1:26" ht="15.75" customHeight="1" x14ac:dyDescent="0.2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</row>
    <row r="744" spans="1:26" ht="15.75" customHeight="1" x14ac:dyDescent="0.2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</row>
    <row r="745" spans="1:26" ht="15.75" customHeight="1" x14ac:dyDescent="0.2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</row>
    <row r="746" spans="1:26" ht="15.75" customHeight="1" x14ac:dyDescent="0.2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</row>
    <row r="747" spans="1:26" ht="15.75" customHeight="1" x14ac:dyDescent="0.2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</row>
    <row r="748" spans="1:26" ht="15.75" customHeight="1" x14ac:dyDescent="0.2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</row>
    <row r="749" spans="1:26" ht="15.75" customHeight="1" x14ac:dyDescent="0.2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</row>
    <row r="750" spans="1:26" ht="15.75" customHeight="1" x14ac:dyDescent="0.2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</row>
    <row r="751" spans="1:26" ht="15.75" customHeight="1" x14ac:dyDescent="0.2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</row>
    <row r="752" spans="1:26" ht="15.75" customHeight="1" x14ac:dyDescent="0.2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</row>
    <row r="753" spans="1:26" ht="15.75" customHeight="1" x14ac:dyDescent="0.2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</row>
    <row r="754" spans="1:26" ht="15.75" customHeight="1" x14ac:dyDescent="0.2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</row>
    <row r="755" spans="1:26" ht="15.75" customHeight="1" x14ac:dyDescent="0.2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</row>
    <row r="756" spans="1:26" ht="15.75" customHeight="1" x14ac:dyDescent="0.2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</row>
    <row r="757" spans="1:26" ht="15.75" customHeight="1" x14ac:dyDescent="0.2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</row>
    <row r="758" spans="1:26" ht="15.75" customHeight="1" x14ac:dyDescent="0.2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</row>
    <row r="759" spans="1:26" ht="15.75" customHeight="1" x14ac:dyDescent="0.2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</row>
    <row r="760" spans="1:26" ht="15.75" customHeight="1" x14ac:dyDescent="0.2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</row>
    <row r="761" spans="1:26" ht="15.75" customHeight="1" x14ac:dyDescent="0.2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</row>
    <row r="762" spans="1:26" ht="15.75" customHeight="1" x14ac:dyDescent="0.2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</row>
    <row r="763" spans="1:26" ht="15.75" customHeight="1" x14ac:dyDescent="0.2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</row>
    <row r="764" spans="1:26" ht="15.75" customHeight="1" x14ac:dyDescent="0.2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</row>
    <row r="765" spans="1:26" ht="15.75" customHeight="1" x14ac:dyDescent="0.2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</row>
    <row r="766" spans="1:26" ht="15.75" customHeight="1" x14ac:dyDescent="0.2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</row>
    <row r="767" spans="1:26" ht="15.75" customHeight="1" x14ac:dyDescent="0.2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</row>
    <row r="768" spans="1:26" ht="15.75" customHeight="1" x14ac:dyDescent="0.2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</row>
    <row r="769" spans="1:26" ht="15.75" customHeight="1" x14ac:dyDescent="0.2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</row>
    <row r="770" spans="1:26" ht="15.75" customHeight="1" x14ac:dyDescent="0.2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</row>
    <row r="771" spans="1:26" ht="15.75" customHeight="1" x14ac:dyDescent="0.2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</row>
    <row r="772" spans="1:26" ht="15.75" customHeight="1" x14ac:dyDescent="0.2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</row>
    <row r="773" spans="1:26" ht="15.75" customHeight="1" x14ac:dyDescent="0.2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</row>
    <row r="774" spans="1:26" ht="15.75" customHeight="1" x14ac:dyDescent="0.2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</row>
    <row r="775" spans="1:26" ht="15.75" customHeight="1" x14ac:dyDescent="0.2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</row>
    <row r="776" spans="1:26" ht="15.75" customHeight="1" x14ac:dyDescent="0.2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</row>
    <row r="777" spans="1:26" ht="15.75" customHeight="1" x14ac:dyDescent="0.2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</row>
    <row r="778" spans="1:26" ht="15.75" customHeight="1" x14ac:dyDescent="0.2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</row>
    <row r="779" spans="1:26" ht="15.75" customHeight="1" x14ac:dyDescent="0.2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</row>
    <row r="780" spans="1:26" ht="15.75" customHeight="1" x14ac:dyDescent="0.2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</row>
    <row r="781" spans="1:26" ht="15.75" customHeight="1" x14ac:dyDescent="0.2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</row>
    <row r="782" spans="1:26" ht="15.75" customHeight="1" x14ac:dyDescent="0.2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</row>
    <row r="783" spans="1:26" ht="15.75" customHeight="1" x14ac:dyDescent="0.2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</row>
    <row r="784" spans="1:26" ht="15.75" customHeight="1" x14ac:dyDescent="0.2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</row>
    <row r="785" spans="1:26" ht="15.75" customHeight="1" x14ac:dyDescent="0.2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</row>
    <row r="786" spans="1:26" ht="15.75" customHeight="1" x14ac:dyDescent="0.2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</row>
    <row r="787" spans="1:26" ht="15.75" customHeight="1" x14ac:dyDescent="0.2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</row>
    <row r="788" spans="1:26" ht="15.75" customHeight="1" x14ac:dyDescent="0.2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</row>
    <row r="789" spans="1:26" ht="15.75" customHeight="1" x14ac:dyDescent="0.2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</row>
    <row r="790" spans="1:26" ht="15.75" customHeight="1" x14ac:dyDescent="0.2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</row>
    <row r="791" spans="1:26" ht="15.75" customHeight="1" x14ac:dyDescent="0.2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</row>
    <row r="792" spans="1:26" ht="15.75" customHeight="1" x14ac:dyDescent="0.2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</row>
    <row r="793" spans="1:26" ht="15.75" customHeight="1" x14ac:dyDescent="0.2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</row>
    <row r="794" spans="1:26" ht="15.75" customHeight="1" x14ac:dyDescent="0.2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</row>
    <row r="795" spans="1:26" ht="15.75" customHeight="1" x14ac:dyDescent="0.2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</row>
    <row r="796" spans="1:26" ht="15.75" customHeight="1" x14ac:dyDescent="0.2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</row>
    <row r="797" spans="1:26" ht="15.75" customHeight="1" x14ac:dyDescent="0.2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</row>
    <row r="798" spans="1:26" ht="15.75" customHeight="1" x14ac:dyDescent="0.2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</row>
    <row r="799" spans="1:26" ht="15.75" customHeight="1" x14ac:dyDescent="0.2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</row>
    <row r="800" spans="1:26" ht="15.75" customHeight="1" x14ac:dyDescent="0.2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</row>
    <row r="801" spans="1:26" ht="15.75" customHeight="1" x14ac:dyDescent="0.2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</row>
    <row r="802" spans="1:26" ht="15.75" customHeight="1" x14ac:dyDescent="0.2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</row>
    <row r="803" spans="1:26" ht="15.75" customHeight="1" x14ac:dyDescent="0.2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</row>
    <row r="804" spans="1:26" ht="15.75" customHeight="1" x14ac:dyDescent="0.2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</row>
    <row r="805" spans="1:26" ht="15.75" customHeight="1" x14ac:dyDescent="0.2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</row>
    <row r="806" spans="1:26" ht="15.75" customHeight="1" x14ac:dyDescent="0.2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</row>
    <row r="807" spans="1:26" ht="15.75" customHeight="1" x14ac:dyDescent="0.2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</row>
    <row r="808" spans="1:26" ht="15.75" customHeight="1" x14ac:dyDescent="0.2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</row>
    <row r="809" spans="1:26" ht="15.75" customHeight="1" x14ac:dyDescent="0.2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</row>
    <row r="810" spans="1:26" ht="15.75" customHeight="1" x14ac:dyDescent="0.2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</row>
    <row r="811" spans="1:26" ht="15.75" customHeight="1" x14ac:dyDescent="0.2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</row>
    <row r="812" spans="1:26" ht="15.75" customHeight="1" x14ac:dyDescent="0.2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</row>
    <row r="813" spans="1:26" ht="15.75" customHeight="1" x14ac:dyDescent="0.2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</row>
    <row r="814" spans="1:26" ht="15.75" customHeight="1" x14ac:dyDescent="0.2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</row>
    <row r="815" spans="1:26" ht="15.75" customHeight="1" x14ac:dyDescent="0.2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</row>
    <row r="816" spans="1:26" ht="15.75" customHeight="1" x14ac:dyDescent="0.2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</row>
    <row r="817" spans="1:26" ht="15.75" customHeight="1" x14ac:dyDescent="0.2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</row>
    <row r="818" spans="1:26" ht="15.75" customHeight="1" x14ac:dyDescent="0.2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</row>
    <row r="819" spans="1:26" ht="15.75" customHeight="1" x14ac:dyDescent="0.2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</row>
    <row r="820" spans="1:26" ht="15.75" customHeight="1" x14ac:dyDescent="0.2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</row>
    <row r="821" spans="1:26" ht="15.75" customHeight="1" x14ac:dyDescent="0.2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</row>
    <row r="822" spans="1:26" ht="15.75" customHeight="1" x14ac:dyDescent="0.2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</row>
    <row r="823" spans="1:26" ht="15.75" customHeight="1" x14ac:dyDescent="0.2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</row>
    <row r="824" spans="1:26" ht="15.75" customHeight="1" x14ac:dyDescent="0.2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</row>
    <row r="825" spans="1:26" ht="15.75" customHeight="1" x14ac:dyDescent="0.2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</row>
    <row r="826" spans="1:26" ht="15.75" customHeight="1" x14ac:dyDescent="0.2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</row>
    <row r="827" spans="1:26" ht="15.75" customHeight="1" x14ac:dyDescent="0.2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</row>
    <row r="828" spans="1:26" ht="15.75" customHeight="1" x14ac:dyDescent="0.2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</row>
    <row r="829" spans="1:26" ht="15.75" customHeight="1" x14ac:dyDescent="0.2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</row>
    <row r="830" spans="1:26" ht="15.75" customHeight="1" x14ac:dyDescent="0.2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</row>
    <row r="831" spans="1:26" ht="15.75" customHeight="1" x14ac:dyDescent="0.2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</row>
    <row r="832" spans="1:26" ht="15.75" customHeight="1" x14ac:dyDescent="0.2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</row>
    <row r="833" spans="1:26" ht="15.75" customHeight="1" x14ac:dyDescent="0.2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</row>
    <row r="834" spans="1:26" ht="15.75" customHeight="1" x14ac:dyDescent="0.2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</row>
    <row r="835" spans="1:26" ht="15.75" customHeight="1" x14ac:dyDescent="0.2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</row>
    <row r="836" spans="1:26" ht="15.75" customHeight="1" x14ac:dyDescent="0.2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</row>
    <row r="837" spans="1:26" ht="15.75" customHeight="1" x14ac:dyDescent="0.2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</row>
    <row r="838" spans="1:26" ht="15.75" customHeight="1" x14ac:dyDescent="0.2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</row>
    <row r="839" spans="1:26" ht="15.75" customHeight="1" x14ac:dyDescent="0.2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</row>
    <row r="840" spans="1:26" ht="15.75" customHeight="1" x14ac:dyDescent="0.2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</row>
    <row r="841" spans="1:26" ht="15.75" customHeight="1" x14ac:dyDescent="0.2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</row>
    <row r="842" spans="1:26" ht="15.75" customHeight="1" x14ac:dyDescent="0.2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</row>
    <row r="843" spans="1:26" ht="15.75" customHeight="1" x14ac:dyDescent="0.2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</row>
    <row r="844" spans="1:26" ht="15.75" customHeight="1" x14ac:dyDescent="0.2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</row>
    <row r="845" spans="1:26" ht="15.75" customHeight="1" x14ac:dyDescent="0.2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</row>
    <row r="846" spans="1:26" ht="15.75" customHeight="1" x14ac:dyDescent="0.2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</row>
    <row r="847" spans="1:26" ht="15.75" customHeight="1" x14ac:dyDescent="0.2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</row>
    <row r="848" spans="1:26" ht="15.75" customHeight="1" x14ac:dyDescent="0.2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</row>
    <row r="849" spans="1:26" ht="15.75" customHeight="1" x14ac:dyDescent="0.2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</row>
    <row r="850" spans="1:26" ht="15.75" customHeight="1" x14ac:dyDescent="0.2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</row>
    <row r="851" spans="1:26" ht="15.75" customHeight="1" x14ac:dyDescent="0.2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</row>
    <row r="852" spans="1:26" ht="15.75" customHeight="1" x14ac:dyDescent="0.2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</row>
    <row r="853" spans="1:26" ht="15.75" customHeight="1" x14ac:dyDescent="0.2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</row>
    <row r="854" spans="1:26" ht="15.75" customHeight="1" x14ac:dyDescent="0.2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</row>
    <row r="855" spans="1:26" ht="15.75" customHeight="1" x14ac:dyDescent="0.2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</row>
    <row r="856" spans="1:26" ht="15.75" customHeight="1" x14ac:dyDescent="0.2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</row>
    <row r="857" spans="1:26" ht="15.75" customHeight="1" x14ac:dyDescent="0.2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</row>
    <row r="858" spans="1:26" ht="15.75" customHeight="1" x14ac:dyDescent="0.2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</row>
    <row r="859" spans="1:26" ht="15.75" customHeight="1" x14ac:dyDescent="0.2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</row>
    <row r="860" spans="1:26" ht="15.75" customHeight="1" x14ac:dyDescent="0.2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</row>
    <row r="861" spans="1:26" ht="15.75" customHeight="1" x14ac:dyDescent="0.2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</row>
    <row r="862" spans="1:26" ht="15.75" customHeight="1" x14ac:dyDescent="0.2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</row>
    <row r="863" spans="1:26" ht="15.75" customHeight="1" x14ac:dyDescent="0.2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</row>
    <row r="864" spans="1:26" ht="15.75" customHeight="1" x14ac:dyDescent="0.2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</row>
    <row r="865" spans="1:26" ht="15.75" customHeight="1" x14ac:dyDescent="0.2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</row>
    <row r="866" spans="1:26" ht="15.75" customHeight="1" x14ac:dyDescent="0.2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</row>
    <row r="867" spans="1:26" ht="15.75" customHeight="1" x14ac:dyDescent="0.2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</row>
    <row r="868" spans="1:26" ht="15.75" customHeight="1" x14ac:dyDescent="0.2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</row>
    <row r="869" spans="1:26" ht="15.75" customHeight="1" x14ac:dyDescent="0.2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</row>
    <row r="870" spans="1:26" ht="15.75" customHeight="1" x14ac:dyDescent="0.2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</row>
    <row r="871" spans="1:26" ht="15.75" customHeight="1" x14ac:dyDescent="0.2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</row>
    <row r="872" spans="1:26" ht="15.75" customHeight="1" x14ac:dyDescent="0.2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</row>
    <row r="873" spans="1:26" ht="15.75" customHeight="1" x14ac:dyDescent="0.2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</row>
    <row r="874" spans="1:26" ht="15.75" customHeight="1" x14ac:dyDescent="0.2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</row>
    <row r="875" spans="1:26" ht="15.75" customHeight="1" x14ac:dyDescent="0.2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</row>
    <row r="876" spans="1:26" ht="15.75" customHeight="1" x14ac:dyDescent="0.2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</row>
    <row r="877" spans="1:26" ht="15.75" customHeight="1" x14ac:dyDescent="0.2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</row>
    <row r="878" spans="1:26" ht="15.75" customHeight="1" x14ac:dyDescent="0.2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</row>
    <row r="879" spans="1:26" ht="15.75" customHeight="1" x14ac:dyDescent="0.2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</row>
    <row r="880" spans="1:26" ht="15.75" customHeight="1" x14ac:dyDescent="0.2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</row>
    <row r="881" spans="1:26" ht="15.75" customHeight="1" x14ac:dyDescent="0.2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</row>
    <row r="882" spans="1:26" ht="15.75" customHeight="1" x14ac:dyDescent="0.2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</row>
    <row r="883" spans="1:26" ht="15.75" customHeight="1" x14ac:dyDescent="0.2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</row>
    <row r="884" spans="1:26" ht="15.75" customHeight="1" x14ac:dyDescent="0.2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</row>
    <row r="885" spans="1:26" ht="15.75" customHeight="1" x14ac:dyDescent="0.2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</row>
    <row r="886" spans="1:26" ht="15.75" customHeight="1" x14ac:dyDescent="0.2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</row>
    <row r="887" spans="1:26" ht="15.75" customHeight="1" x14ac:dyDescent="0.2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</row>
    <row r="888" spans="1:26" ht="15.75" customHeight="1" x14ac:dyDescent="0.2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</row>
    <row r="889" spans="1:26" ht="15.75" customHeight="1" x14ac:dyDescent="0.2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</row>
    <row r="890" spans="1:26" ht="15.75" customHeight="1" x14ac:dyDescent="0.2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</row>
    <row r="891" spans="1:26" ht="15.75" customHeight="1" x14ac:dyDescent="0.2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</row>
    <row r="892" spans="1:26" ht="15.75" customHeight="1" x14ac:dyDescent="0.2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</row>
    <row r="893" spans="1:26" ht="15.75" customHeight="1" x14ac:dyDescent="0.2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</row>
    <row r="894" spans="1:26" ht="15.75" customHeight="1" x14ac:dyDescent="0.2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</row>
    <row r="895" spans="1:26" ht="15.75" customHeight="1" x14ac:dyDescent="0.2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</row>
    <row r="896" spans="1:26" ht="15.75" customHeight="1" x14ac:dyDescent="0.2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</row>
    <row r="897" spans="1:26" ht="15.75" customHeight="1" x14ac:dyDescent="0.2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</row>
    <row r="898" spans="1:26" ht="15.75" customHeight="1" x14ac:dyDescent="0.2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</row>
    <row r="899" spans="1:26" ht="15.75" customHeight="1" x14ac:dyDescent="0.2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</row>
    <row r="900" spans="1:26" ht="15.75" customHeight="1" x14ac:dyDescent="0.2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</row>
    <row r="901" spans="1:26" ht="15.75" customHeight="1" x14ac:dyDescent="0.2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</row>
    <row r="902" spans="1:26" ht="15.75" customHeight="1" x14ac:dyDescent="0.2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</row>
    <row r="903" spans="1:26" ht="15.75" customHeight="1" x14ac:dyDescent="0.2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</row>
    <row r="904" spans="1:26" ht="15.75" customHeight="1" x14ac:dyDescent="0.2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</row>
    <row r="905" spans="1:26" ht="15.75" customHeight="1" x14ac:dyDescent="0.2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</row>
    <row r="906" spans="1:26" ht="15.75" customHeight="1" x14ac:dyDescent="0.2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</row>
    <row r="907" spans="1:26" ht="15.75" customHeight="1" x14ac:dyDescent="0.2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</row>
    <row r="908" spans="1:26" ht="15.75" customHeight="1" x14ac:dyDescent="0.2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</row>
    <row r="909" spans="1:26" ht="15.75" customHeight="1" x14ac:dyDescent="0.2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</row>
    <row r="910" spans="1:26" ht="15.75" customHeight="1" x14ac:dyDescent="0.2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</row>
    <row r="911" spans="1:26" ht="15.75" customHeight="1" x14ac:dyDescent="0.2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</row>
    <row r="912" spans="1:26" ht="15.75" customHeight="1" x14ac:dyDescent="0.2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</row>
    <row r="913" spans="1:26" ht="15.75" customHeight="1" x14ac:dyDescent="0.2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</row>
    <row r="914" spans="1:26" ht="15.75" customHeight="1" x14ac:dyDescent="0.2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</row>
    <row r="915" spans="1:26" ht="15.75" customHeight="1" x14ac:dyDescent="0.2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</row>
    <row r="916" spans="1:26" ht="15.75" customHeight="1" x14ac:dyDescent="0.2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</row>
  </sheetData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C979"/>
  <sheetViews>
    <sheetView topLeftCell="A4" workbookViewId="0">
      <selection activeCell="C12" sqref="C12"/>
    </sheetView>
  </sheetViews>
  <sheetFormatPr baseColWidth="10" defaultColWidth="14.5" defaultRowHeight="15" customHeight="1" x14ac:dyDescent="0.2"/>
  <cols>
    <col min="1" max="1" width="8.83203125" customWidth="1"/>
    <col min="2" max="2" width="31.83203125" customWidth="1"/>
    <col min="3" max="5" width="20.6640625" customWidth="1"/>
    <col min="6" max="6" width="16.83203125" customWidth="1"/>
    <col min="7" max="7" width="12.1640625" customWidth="1"/>
    <col min="8" max="8" width="14.5" customWidth="1"/>
    <col min="9" max="24" width="8.83203125" customWidth="1"/>
  </cols>
  <sheetData>
    <row r="3" spans="1:3" ht="24" x14ac:dyDescent="0.3">
      <c r="A3" s="1" t="s">
        <v>531</v>
      </c>
    </row>
    <row r="4" spans="1:3" ht="15.75" customHeight="1" x14ac:dyDescent="0.2"/>
    <row r="5" spans="1:3" ht="15.75" customHeight="1" x14ac:dyDescent="0.2">
      <c r="B5" s="12" t="s">
        <v>312</v>
      </c>
      <c r="C5" s="12"/>
    </row>
    <row r="6" spans="1:3" ht="15.75" customHeight="1" x14ac:dyDescent="0.2">
      <c r="B6" s="27" t="s">
        <v>313</v>
      </c>
      <c r="C6" s="27" t="e">
        <f ca="1">ARRAY_CONSTRAIN(ARRAYFORMULA( (ventas de canal/ventas totales)*100), 1, 1)</f>
        <v>#NAME?</v>
      </c>
    </row>
    <row r="7" spans="1:3" ht="15.75" customHeight="1" x14ac:dyDescent="0.2"/>
    <row r="8" spans="1:3" ht="15.75" customHeight="1" x14ac:dyDescent="0.2">
      <c r="B8" s="12" t="s">
        <v>314</v>
      </c>
      <c r="C8" s="12"/>
    </row>
    <row r="9" spans="1:3" ht="15.75" customHeight="1" x14ac:dyDescent="0.2">
      <c r="B9" s="27" t="s">
        <v>315</v>
      </c>
      <c r="C9" s="27" t="s">
        <v>316</v>
      </c>
    </row>
    <row r="10" spans="1:3" ht="15.75" customHeight="1" x14ac:dyDescent="0.2"/>
    <row r="11" spans="1:3" ht="15.75" customHeight="1" x14ac:dyDescent="0.2">
      <c r="B11" s="12" t="s">
        <v>317</v>
      </c>
      <c r="C11" s="12"/>
    </row>
    <row r="12" spans="1:3" ht="15.75" customHeight="1" x14ac:dyDescent="0.2">
      <c r="B12" s="27" t="s">
        <v>318</v>
      </c>
      <c r="C12" s="27" t="e">
        <f ca="1">ARRAY_CONSTRAIN(ARRAYFORMULA(Proyeccion de ventas - ventas reales), 1, 1)</f>
        <v>#NAME?</v>
      </c>
    </row>
    <row r="13" spans="1:3" ht="15.75" customHeight="1" x14ac:dyDescent="0.2">
      <c r="B13" s="27" t="s">
        <v>319</v>
      </c>
      <c r="C13" s="27" t="e">
        <f t="array" ref="C13">(Diferencia/Proyeccion*100)</f>
        <v>#NAME?</v>
      </c>
    </row>
    <row r="14" spans="1:3" ht="15.75" customHeight="1" x14ac:dyDescent="0.2"/>
    <row r="15" spans="1:3" ht="15.75" customHeight="1" x14ac:dyDescent="0.2">
      <c r="B15" s="12" t="s">
        <v>320</v>
      </c>
      <c r="C15" s="12"/>
    </row>
    <row r="16" spans="1:3" ht="15.75" customHeight="1" x14ac:dyDescent="0.2">
      <c r="B16" s="27" t="s">
        <v>321</v>
      </c>
      <c r="C16" s="27" t="e">
        <f ca="1">ARRAY_CONSTRAIN(ARRAYFORMULA((ventas/numero de consultas o leads)), 1, 1)</f>
        <v>#NAME?</v>
      </c>
    </row>
    <row r="17" spans="2:3" ht="15.75" customHeight="1" x14ac:dyDescent="0.2">
      <c r="B17" s="27" t="s">
        <v>322</v>
      </c>
      <c r="C17" s="27" t="s">
        <v>323</v>
      </c>
    </row>
    <row r="18" spans="2:3" ht="15.75" customHeight="1" x14ac:dyDescent="0.2"/>
    <row r="19" spans="2:3" ht="15.75" customHeight="1" x14ac:dyDescent="0.2"/>
    <row r="20" spans="2:3" ht="15.75" customHeight="1" x14ac:dyDescent="0.2"/>
    <row r="21" spans="2:3" ht="15.75" customHeight="1" x14ac:dyDescent="0.2"/>
    <row r="22" spans="2:3" ht="15.75" customHeight="1" x14ac:dyDescent="0.2"/>
    <row r="23" spans="2:3" ht="15.75" customHeight="1" x14ac:dyDescent="0.2"/>
    <row r="24" spans="2:3" ht="15.75" customHeight="1" x14ac:dyDescent="0.2"/>
    <row r="25" spans="2:3" ht="15.75" customHeight="1" x14ac:dyDescent="0.2"/>
    <row r="26" spans="2:3" ht="15.75" customHeight="1" x14ac:dyDescent="0.2"/>
    <row r="27" spans="2:3" ht="15.75" customHeight="1" x14ac:dyDescent="0.2"/>
    <row r="28" spans="2:3" ht="15.75" customHeight="1" x14ac:dyDescent="0.2"/>
    <row r="29" spans="2:3" ht="15.75" customHeight="1" x14ac:dyDescent="0.2"/>
    <row r="30" spans="2:3" ht="15.75" customHeight="1" x14ac:dyDescent="0.2"/>
    <row r="31" spans="2:3" ht="15.75" customHeight="1" x14ac:dyDescent="0.2"/>
    <row r="32" spans="2:3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</sheetData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3:D1000"/>
  <sheetViews>
    <sheetView workbookViewId="0">
      <selection activeCell="D12" sqref="D12"/>
    </sheetView>
  </sheetViews>
  <sheetFormatPr baseColWidth="10" defaultColWidth="14.5" defaultRowHeight="15" customHeight="1" x14ac:dyDescent="0.2"/>
  <cols>
    <col min="1" max="3" width="8.83203125" customWidth="1"/>
    <col min="4" max="4" width="11.33203125" customWidth="1"/>
    <col min="5" max="26" width="8.83203125" customWidth="1"/>
  </cols>
  <sheetData>
    <row r="3" spans="1:4" ht="24" x14ac:dyDescent="0.3">
      <c r="A3" s="1" t="s">
        <v>475</v>
      </c>
    </row>
    <row r="4" spans="1:4" x14ac:dyDescent="0.2">
      <c r="A4" s="7" t="s">
        <v>476</v>
      </c>
      <c r="B4" s="7" t="s">
        <v>477</v>
      </c>
      <c r="C4" s="7" t="s">
        <v>478</v>
      </c>
      <c r="D4" s="7" t="s">
        <v>479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L1000"/>
  <sheetViews>
    <sheetView topLeftCell="A28" workbookViewId="0">
      <selection activeCell="K16" sqref="K16"/>
    </sheetView>
  </sheetViews>
  <sheetFormatPr baseColWidth="10" defaultColWidth="14.5" defaultRowHeight="15" customHeight="1" x14ac:dyDescent="0.2"/>
  <cols>
    <col min="1" max="2" width="10.6640625" customWidth="1"/>
    <col min="3" max="3" width="23.33203125" customWidth="1"/>
    <col min="4" max="4" width="11" customWidth="1"/>
    <col min="5" max="5" width="10.6640625" customWidth="1"/>
    <col min="6" max="6" width="13.6640625" customWidth="1"/>
    <col min="7" max="7" width="14" customWidth="1"/>
    <col min="8" max="8" width="13.83203125" customWidth="1"/>
    <col min="9" max="10" width="10.6640625" customWidth="1"/>
    <col min="11" max="11" width="16.83203125" customWidth="1"/>
    <col min="12" max="26" width="10.6640625" customWidth="1"/>
  </cols>
  <sheetData>
    <row r="2" spans="1:12" ht="24" x14ac:dyDescent="0.3">
      <c r="A2" s="1" t="s">
        <v>324</v>
      </c>
    </row>
    <row r="3" spans="1:12" ht="19" x14ac:dyDescent="0.25">
      <c r="A3" s="28" t="s">
        <v>325</v>
      </c>
    </row>
    <row r="4" spans="1:12" x14ac:dyDescent="0.2">
      <c r="A4" s="29" t="s">
        <v>326</v>
      </c>
      <c r="B4" s="30" t="s">
        <v>327</v>
      </c>
      <c r="C4" s="30" t="s">
        <v>328</v>
      </c>
      <c r="D4" s="30" t="s">
        <v>329</v>
      </c>
      <c r="E4" s="30" t="s">
        <v>330</v>
      </c>
      <c r="F4" s="30" t="s">
        <v>331</v>
      </c>
      <c r="G4" s="30" t="s">
        <v>332</v>
      </c>
      <c r="H4" s="31" t="s">
        <v>333</v>
      </c>
    </row>
    <row r="5" spans="1:12" x14ac:dyDescent="0.2">
      <c r="A5" s="32">
        <v>45689.45988425926</v>
      </c>
      <c r="B5" s="33"/>
      <c r="C5" s="33" t="s">
        <v>334</v>
      </c>
      <c r="D5" s="33" t="s">
        <v>335</v>
      </c>
      <c r="E5" s="33">
        <v>1</v>
      </c>
      <c r="F5" s="33">
        <v>330</v>
      </c>
      <c r="G5" s="33">
        <v>370</v>
      </c>
      <c r="H5" s="34" t="s">
        <v>219</v>
      </c>
      <c r="K5" s="35" t="s">
        <v>336</v>
      </c>
      <c r="L5" s="9"/>
    </row>
    <row r="6" spans="1:12" x14ac:dyDescent="0.2">
      <c r="A6" s="36"/>
      <c r="B6" s="37"/>
      <c r="C6" s="37" t="s">
        <v>337</v>
      </c>
      <c r="D6" s="37" t="s">
        <v>335</v>
      </c>
      <c r="E6" s="37">
        <v>1</v>
      </c>
      <c r="F6" s="37">
        <v>420</v>
      </c>
      <c r="G6" s="37">
        <v>666</v>
      </c>
      <c r="H6" s="38" t="s">
        <v>125</v>
      </c>
      <c r="K6" s="35" t="s">
        <v>338</v>
      </c>
      <c r="L6" s="9"/>
    </row>
    <row r="7" spans="1:12" x14ac:dyDescent="0.2">
      <c r="A7" s="32"/>
      <c r="B7" s="33"/>
      <c r="C7" s="33" t="s">
        <v>339</v>
      </c>
      <c r="D7" s="33" t="s">
        <v>335</v>
      </c>
      <c r="E7" s="33">
        <v>1</v>
      </c>
      <c r="F7" s="33">
        <v>150</v>
      </c>
      <c r="G7" s="33">
        <v>425</v>
      </c>
      <c r="H7" s="34" t="s">
        <v>49</v>
      </c>
    </row>
    <row r="8" spans="1:12" x14ac:dyDescent="0.2">
      <c r="A8" s="36"/>
      <c r="B8" s="37"/>
      <c r="C8" s="37" t="s">
        <v>340</v>
      </c>
      <c r="D8" s="37"/>
      <c r="E8" s="37"/>
      <c r="F8" s="37"/>
      <c r="G8" s="37"/>
      <c r="H8" s="38"/>
    </row>
    <row r="9" spans="1:12" x14ac:dyDescent="0.2">
      <c r="A9" s="32"/>
      <c r="B9" s="33"/>
      <c r="C9" s="33"/>
      <c r="D9" s="33"/>
      <c r="E9" s="33"/>
      <c r="F9" s="33"/>
      <c r="G9" s="33"/>
      <c r="H9" s="34"/>
    </row>
    <row r="10" spans="1:12" x14ac:dyDescent="0.2">
      <c r="A10" s="36"/>
      <c r="B10" s="37"/>
      <c r="C10" s="37"/>
      <c r="D10" s="37"/>
      <c r="E10" s="37"/>
      <c r="F10" s="37"/>
      <c r="G10" s="37"/>
      <c r="H10" s="38"/>
    </row>
    <row r="11" spans="1:12" x14ac:dyDescent="0.2">
      <c r="A11" s="32"/>
      <c r="B11" s="33"/>
      <c r="C11" s="33"/>
      <c r="D11" s="33"/>
      <c r="E11" s="33"/>
      <c r="F11" s="33"/>
      <c r="G11" s="33"/>
      <c r="H11" s="34"/>
    </row>
    <row r="12" spans="1:12" x14ac:dyDescent="0.2">
      <c r="A12" s="36"/>
      <c r="B12" s="37"/>
      <c r="C12" s="37"/>
      <c r="D12" s="37"/>
      <c r="E12" s="37"/>
      <c r="F12" s="37"/>
      <c r="G12" s="37"/>
      <c r="H12" s="38"/>
    </row>
    <row r="13" spans="1:12" x14ac:dyDescent="0.2">
      <c r="A13" s="32"/>
      <c r="B13" s="33"/>
      <c r="C13" s="33"/>
      <c r="D13" s="33"/>
      <c r="E13" s="33"/>
      <c r="F13" s="33"/>
      <c r="G13" s="33"/>
      <c r="H13" s="34"/>
    </row>
    <row r="14" spans="1:12" x14ac:dyDescent="0.2">
      <c r="A14" s="36"/>
      <c r="B14" s="37"/>
      <c r="C14" s="37"/>
      <c r="D14" s="37"/>
      <c r="E14" s="37"/>
      <c r="F14" s="37"/>
      <c r="G14" s="37"/>
      <c r="H14" s="38"/>
    </row>
    <row r="15" spans="1:12" x14ac:dyDescent="0.2">
      <c r="A15" s="32"/>
      <c r="B15" s="33"/>
      <c r="C15" s="33"/>
      <c r="D15" s="33"/>
      <c r="E15" s="33"/>
      <c r="F15" s="33"/>
      <c r="G15" s="33"/>
      <c r="H15" s="34"/>
    </row>
    <row r="16" spans="1:12" x14ac:dyDescent="0.2">
      <c r="A16" s="36"/>
      <c r="B16" s="37"/>
      <c r="C16" s="37"/>
      <c r="D16" s="37"/>
      <c r="E16" s="37"/>
      <c r="F16" s="37"/>
      <c r="G16" s="37"/>
      <c r="H16" s="38"/>
    </row>
    <row r="17" spans="1:8" x14ac:dyDescent="0.2">
      <c r="A17" s="32"/>
      <c r="B17" s="33"/>
      <c r="C17" s="33"/>
      <c r="D17" s="33"/>
      <c r="E17" s="33"/>
      <c r="F17" s="33"/>
      <c r="G17" s="33"/>
      <c r="H17" s="34"/>
    </row>
    <row r="18" spans="1:8" x14ac:dyDescent="0.2">
      <c r="A18" s="36"/>
      <c r="B18" s="37"/>
      <c r="C18" s="37"/>
      <c r="D18" s="37"/>
      <c r="E18" s="37"/>
      <c r="F18" s="37"/>
      <c r="G18" s="37"/>
      <c r="H18" s="38"/>
    </row>
    <row r="19" spans="1:8" x14ac:dyDescent="0.2">
      <c r="A19" s="32"/>
      <c r="B19" s="33"/>
      <c r="C19" s="33"/>
      <c r="D19" s="33"/>
      <c r="E19" s="33"/>
      <c r="F19" s="33"/>
      <c r="G19" s="33"/>
      <c r="H19" s="34"/>
    </row>
    <row r="20" spans="1:8" x14ac:dyDescent="0.2">
      <c r="A20" s="36"/>
      <c r="B20" s="37"/>
      <c r="C20" s="37"/>
      <c r="D20" s="37"/>
      <c r="E20" s="37"/>
      <c r="F20" s="37"/>
      <c r="G20" s="37"/>
      <c r="H20" s="38"/>
    </row>
    <row r="21" spans="1:8" ht="15.75" customHeight="1" x14ac:dyDescent="0.2">
      <c r="A21" s="32"/>
      <c r="B21" s="33"/>
      <c r="C21" s="33"/>
      <c r="D21" s="33"/>
      <c r="E21" s="33"/>
      <c r="F21" s="33"/>
      <c r="G21" s="33"/>
      <c r="H21" s="34"/>
    </row>
    <row r="22" spans="1:8" ht="15.75" customHeight="1" x14ac:dyDescent="0.2">
      <c r="A22" s="36"/>
      <c r="B22" s="37"/>
      <c r="C22" s="37"/>
      <c r="D22" s="37"/>
      <c r="E22" s="37"/>
      <c r="F22" s="37"/>
      <c r="G22" s="37"/>
      <c r="H22" s="38"/>
    </row>
    <row r="23" spans="1:8" ht="15.75" customHeight="1" x14ac:dyDescent="0.2">
      <c r="A23" s="32"/>
      <c r="B23" s="33"/>
      <c r="C23" s="33"/>
      <c r="D23" s="33"/>
      <c r="E23" s="33"/>
      <c r="F23" s="33"/>
      <c r="G23" s="33"/>
      <c r="H23" s="34"/>
    </row>
    <row r="24" spans="1:8" ht="15.75" customHeight="1" x14ac:dyDescent="0.2"/>
    <row r="25" spans="1:8" ht="15.75" customHeight="1" x14ac:dyDescent="0.2"/>
    <row r="26" spans="1:8" ht="15.75" customHeight="1" x14ac:dyDescent="0.2"/>
    <row r="27" spans="1:8" ht="15.75" customHeight="1" x14ac:dyDescent="0.25">
      <c r="A27" s="28" t="s">
        <v>341</v>
      </c>
    </row>
    <row r="28" spans="1:8" ht="15.75" customHeight="1" x14ac:dyDescent="0.2">
      <c r="A28" s="29" t="s">
        <v>326</v>
      </c>
      <c r="B28" s="30" t="s">
        <v>327</v>
      </c>
      <c r="C28" s="30" t="s">
        <v>328</v>
      </c>
      <c r="D28" s="30" t="s">
        <v>329</v>
      </c>
      <c r="E28" s="30" t="s">
        <v>330</v>
      </c>
      <c r="F28" s="30" t="s">
        <v>331</v>
      </c>
      <c r="G28" s="30" t="s">
        <v>332</v>
      </c>
      <c r="H28" s="31" t="s">
        <v>333</v>
      </c>
    </row>
    <row r="29" spans="1:8" ht="15.75" customHeight="1" x14ac:dyDescent="0.2">
      <c r="A29" s="32">
        <v>45689.45988425926</v>
      </c>
      <c r="B29" s="33"/>
      <c r="C29" s="33" t="s">
        <v>334</v>
      </c>
      <c r="D29" s="33" t="s">
        <v>335</v>
      </c>
      <c r="E29" s="33">
        <v>1</v>
      </c>
      <c r="F29" s="33">
        <v>370</v>
      </c>
      <c r="G29" s="33">
        <v>370</v>
      </c>
      <c r="H29" s="34" t="s">
        <v>219</v>
      </c>
    </row>
    <row r="30" spans="1:8" ht="15.75" customHeight="1" x14ac:dyDescent="0.2">
      <c r="A30" s="36"/>
      <c r="B30" s="37"/>
      <c r="C30" s="37" t="s">
        <v>337</v>
      </c>
      <c r="D30" s="37" t="s">
        <v>335</v>
      </c>
      <c r="E30" s="37">
        <v>1</v>
      </c>
      <c r="F30" s="37">
        <v>740</v>
      </c>
      <c r="G30" s="37">
        <v>666</v>
      </c>
      <c r="H30" s="38" t="s">
        <v>125</v>
      </c>
    </row>
    <row r="31" spans="1:8" ht="15.75" customHeight="1" x14ac:dyDescent="0.2">
      <c r="A31" s="32"/>
      <c r="B31" s="33"/>
      <c r="C31" s="33" t="s">
        <v>339</v>
      </c>
      <c r="D31" s="33" t="s">
        <v>335</v>
      </c>
      <c r="E31" s="33">
        <v>1</v>
      </c>
      <c r="F31" s="33">
        <v>425</v>
      </c>
      <c r="G31" s="33">
        <v>425</v>
      </c>
      <c r="H31" s="34" t="s">
        <v>49</v>
      </c>
    </row>
    <row r="32" spans="1:8" ht="15.75" customHeight="1" x14ac:dyDescent="0.2">
      <c r="A32" s="36"/>
      <c r="B32" s="37"/>
      <c r="C32" s="37" t="s">
        <v>340</v>
      </c>
      <c r="D32" s="37"/>
      <c r="E32" s="37"/>
      <c r="F32" s="37"/>
      <c r="G32" s="37"/>
      <c r="H32" s="38"/>
    </row>
    <row r="33" spans="1:8" ht="15.75" customHeight="1" x14ac:dyDescent="0.2">
      <c r="A33" s="32"/>
      <c r="B33" s="33"/>
      <c r="C33" s="33"/>
      <c r="D33" s="33"/>
      <c r="E33" s="33"/>
      <c r="F33" s="33"/>
      <c r="G33" s="33"/>
      <c r="H33" s="34"/>
    </row>
    <row r="34" spans="1:8" ht="15.75" customHeight="1" x14ac:dyDescent="0.2">
      <c r="A34" s="36"/>
      <c r="B34" s="37"/>
      <c r="C34" s="37"/>
      <c r="D34" s="37"/>
      <c r="E34" s="37"/>
      <c r="F34" s="37"/>
      <c r="G34" s="37"/>
      <c r="H34" s="38"/>
    </row>
    <row r="35" spans="1:8" ht="15.75" customHeight="1" x14ac:dyDescent="0.2">
      <c r="A35" s="32"/>
      <c r="B35" s="33"/>
      <c r="C35" s="33"/>
      <c r="D35" s="33"/>
      <c r="E35" s="33"/>
      <c r="F35" s="33"/>
      <c r="G35" s="33"/>
      <c r="H35" s="34"/>
    </row>
    <row r="36" spans="1:8" ht="15.75" customHeight="1" x14ac:dyDescent="0.2">
      <c r="A36" s="36"/>
      <c r="B36" s="37"/>
      <c r="C36" s="37"/>
      <c r="D36" s="37"/>
      <c r="E36" s="37"/>
      <c r="F36" s="37"/>
      <c r="G36" s="37"/>
      <c r="H36" s="38"/>
    </row>
    <row r="37" spans="1:8" ht="15.75" customHeight="1" x14ac:dyDescent="0.2">
      <c r="A37" s="32"/>
      <c r="B37" s="33"/>
      <c r="C37" s="33"/>
      <c r="D37" s="33"/>
      <c r="E37" s="33"/>
      <c r="F37" s="33"/>
      <c r="G37" s="33"/>
      <c r="H37" s="34"/>
    </row>
    <row r="38" spans="1:8" ht="15.75" customHeight="1" x14ac:dyDescent="0.2">
      <c r="A38" s="36"/>
      <c r="B38" s="37"/>
      <c r="C38" s="37"/>
      <c r="D38" s="37"/>
      <c r="E38" s="37"/>
      <c r="F38" s="37"/>
      <c r="G38" s="37"/>
      <c r="H38" s="38"/>
    </row>
    <row r="39" spans="1:8" ht="15.75" customHeight="1" x14ac:dyDescent="0.2">
      <c r="A39" s="32"/>
      <c r="B39" s="33"/>
      <c r="C39" s="33"/>
      <c r="D39" s="33"/>
      <c r="E39" s="33"/>
      <c r="F39" s="33"/>
      <c r="G39" s="33"/>
      <c r="H39" s="34"/>
    </row>
    <row r="40" spans="1:8" ht="15.75" customHeight="1" x14ac:dyDescent="0.2">
      <c r="A40" s="36"/>
      <c r="B40" s="37"/>
      <c r="C40" s="37"/>
      <c r="D40" s="37"/>
      <c r="E40" s="37"/>
      <c r="F40" s="37"/>
      <c r="G40" s="37"/>
      <c r="H40" s="38"/>
    </row>
    <row r="41" spans="1:8" ht="15.75" customHeight="1" x14ac:dyDescent="0.2">
      <c r="A41" s="32"/>
      <c r="B41" s="33"/>
      <c r="C41" s="33"/>
      <c r="D41" s="33"/>
      <c r="E41" s="33"/>
      <c r="F41" s="33"/>
      <c r="G41" s="33"/>
      <c r="H41" s="34"/>
    </row>
    <row r="42" spans="1:8" ht="15.75" customHeight="1" x14ac:dyDescent="0.2">
      <c r="A42" s="36"/>
      <c r="B42" s="37"/>
      <c r="C42" s="37"/>
      <c r="D42" s="37"/>
      <c r="E42" s="37"/>
      <c r="F42" s="37"/>
      <c r="G42" s="37"/>
      <c r="H42" s="38"/>
    </row>
    <row r="43" spans="1:8" ht="15.75" customHeight="1" x14ac:dyDescent="0.2">
      <c r="A43" s="32"/>
      <c r="B43" s="33"/>
      <c r="C43" s="33"/>
      <c r="D43" s="33"/>
      <c r="E43" s="33"/>
      <c r="F43" s="33"/>
      <c r="G43" s="33"/>
      <c r="H43" s="34"/>
    </row>
    <row r="44" spans="1:8" ht="15.75" customHeight="1" x14ac:dyDescent="0.2">
      <c r="A44" s="36"/>
      <c r="B44" s="37"/>
      <c r="C44" s="37"/>
      <c r="D44" s="37"/>
      <c r="E44" s="37"/>
      <c r="F44" s="37"/>
      <c r="G44" s="37"/>
      <c r="H44" s="38"/>
    </row>
    <row r="45" spans="1:8" ht="15.75" customHeight="1" x14ac:dyDescent="0.2">
      <c r="A45" s="32"/>
      <c r="B45" s="33"/>
      <c r="C45" s="33"/>
      <c r="D45" s="33"/>
      <c r="E45" s="33"/>
      <c r="F45" s="33"/>
      <c r="G45" s="33"/>
      <c r="H45" s="34"/>
    </row>
    <row r="46" spans="1:8" ht="15.75" customHeight="1" x14ac:dyDescent="0.2">
      <c r="A46" s="36"/>
      <c r="B46" s="37"/>
      <c r="C46" s="37"/>
      <c r="D46" s="37"/>
      <c r="E46" s="37"/>
      <c r="F46" s="37"/>
      <c r="G46" s="37"/>
      <c r="H46" s="38"/>
    </row>
    <row r="47" spans="1:8" ht="15.75" customHeight="1" x14ac:dyDescent="0.2">
      <c r="A47" s="32"/>
      <c r="B47" s="33"/>
      <c r="C47" s="33"/>
      <c r="D47" s="33"/>
      <c r="E47" s="33"/>
      <c r="F47" s="33"/>
      <c r="G47" s="33"/>
      <c r="H47" s="34"/>
    </row>
    <row r="48" spans="1: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E1000"/>
  <sheetViews>
    <sheetView workbookViewId="0"/>
  </sheetViews>
  <sheetFormatPr baseColWidth="10" defaultColWidth="14.5" defaultRowHeight="15" customHeight="1" x14ac:dyDescent="0.2"/>
  <cols>
    <col min="1" max="1" width="17" customWidth="1"/>
    <col min="2" max="2" width="29.6640625" customWidth="1"/>
    <col min="3" max="3" width="15" customWidth="1"/>
    <col min="4" max="4" width="63.6640625" customWidth="1"/>
    <col min="5" max="5" width="16.6640625" customWidth="1"/>
    <col min="6" max="26" width="8.83203125" customWidth="1"/>
  </cols>
  <sheetData>
    <row r="3" spans="1:5" ht="24" x14ac:dyDescent="0.3">
      <c r="A3" s="1" t="s">
        <v>427</v>
      </c>
    </row>
    <row r="4" spans="1:5" x14ac:dyDescent="0.2">
      <c r="A4" s="7" t="s">
        <v>329</v>
      </c>
      <c r="B4" s="7" t="s">
        <v>2</v>
      </c>
      <c r="C4" s="7" t="s">
        <v>426</v>
      </c>
      <c r="D4" s="7" t="s">
        <v>1</v>
      </c>
      <c r="E4" s="7" t="s">
        <v>428</v>
      </c>
    </row>
    <row r="5" spans="1:5" x14ac:dyDescent="0.2">
      <c r="A5" s="3" t="s">
        <v>429</v>
      </c>
      <c r="B5" s="3" t="s">
        <v>430</v>
      </c>
      <c r="C5" s="3"/>
      <c r="D5" s="3" t="s">
        <v>429</v>
      </c>
      <c r="E5" s="3"/>
    </row>
    <row r="6" spans="1:5" x14ac:dyDescent="0.2">
      <c r="A6" s="9" t="s">
        <v>431</v>
      </c>
      <c r="B6" s="9" t="s">
        <v>432</v>
      </c>
      <c r="C6" s="9"/>
      <c r="D6" s="9" t="s">
        <v>433</v>
      </c>
      <c r="E6" s="9"/>
    </row>
    <row r="7" spans="1:5" x14ac:dyDescent="0.2">
      <c r="A7" s="3" t="s">
        <v>434</v>
      </c>
      <c r="B7" s="3" t="s">
        <v>435</v>
      </c>
      <c r="C7" s="3"/>
      <c r="D7" s="3" t="s">
        <v>436</v>
      </c>
      <c r="E7" s="3"/>
    </row>
    <row r="8" spans="1:5" x14ac:dyDescent="0.2">
      <c r="A8" s="9" t="s">
        <v>425</v>
      </c>
      <c r="B8" s="9" t="s">
        <v>437</v>
      </c>
      <c r="C8" s="9">
        <f>SUM((C6+C7))</f>
        <v>0</v>
      </c>
      <c r="D8" s="9" t="s">
        <v>438</v>
      </c>
      <c r="E8" s="9"/>
    </row>
    <row r="9" spans="1:5" x14ac:dyDescent="0.2">
      <c r="A9" s="3" t="s">
        <v>439</v>
      </c>
      <c r="B9" s="3" t="s">
        <v>440</v>
      </c>
      <c r="C9" s="3">
        <f>C5-C6</f>
        <v>0</v>
      </c>
      <c r="D9" s="3" t="s">
        <v>441</v>
      </c>
      <c r="E9" s="3"/>
    </row>
    <row r="10" spans="1:5" x14ac:dyDescent="0.2">
      <c r="A10" s="9" t="s">
        <v>442</v>
      </c>
      <c r="B10" s="9" t="s">
        <v>443</v>
      </c>
      <c r="C10" s="9" t="e">
        <f>(C9/C5)*100</f>
        <v>#DIV/0!</v>
      </c>
      <c r="D10" s="9" t="s">
        <v>444</v>
      </c>
      <c r="E10" s="9"/>
    </row>
    <row r="11" spans="1:5" x14ac:dyDescent="0.2">
      <c r="A11" s="3" t="s">
        <v>445</v>
      </c>
      <c r="B11" s="3" t="s">
        <v>446</v>
      </c>
      <c r="C11" s="3">
        <f>C5-C8</f>
        <v>0</v>
      </c>
      <c r="D11" s="3" t="s">
        <v>447</v>
      </c>
      <c r="E11" s="3"/>
    </row>
    <row r="12" spans="1:5" x14ac:dyDescent="0.2">
      <c r="A12" s="9" t="s">
        <v>448</v>
      </c>
      <c r="B12" s="9" t="s">
        <v>449</v>
      </c>
      <c r="C12" s="9" t="e">
        <f>(C11/C5)*100</f>
        <v>#DIV/0!</v>
      </c>
      <c r="D12" s="9" t="s">
        <v>450</v>
      </c>
      <c r="E12" s="9"/>
    </row>
    <row r="13" spans="1:5" x14ac:dyDescent="0.2">
      <c r="A13" s="3" t="s">
        <v>451</v>
      </c>
      <c r="B13" s="3" t="s">
        <v>452</v>
      </c>
      <c r="C13" s="3"/>
      <c r="D13" s="3" t="s">
        <v>453</v>
      </c>
      <c r="E13" s="3"/>
    </row>
    <row r="14" spans="1:5" x14ac:dyDescent="0.2">
      <c r="A14" s="9" t="s">
        <v>454</v>
      </c>
      <c r="B14" s="9" t="s">
        <v>455</v>
      </c>
      <c r="C14" s="9"/>
      <c r="D14" s="9" t="s">
        <v>456</v>
      </c>
      <c r="E14" s="9"/>
    </row>
    <row r="15" spans="1:5" x14ac:dyDescent="0.2">
      <c r="A15" s="3" t="s">
        <v>457</v>
      </c>
      <c r="B15" s="3" t="s">
        <v>458</v>
      </c>
      <c r="C15" s="3" t="e">
        <f>C7/(C5-C6)</f>
        <v>#DIV/0!</v>
      </c>
      <c r="D15" s="3" t="s">
        <v>459</v>
      </c>
      <c r="E15" s="3"/>
    </row>
    <row r="16" spans="1:5" x14ac:dyDescent="0.2">
      <c r="A16" s="9" t="s">
        <v>460</v>
      </c>
      <c r="B16" s="9" t="s">
        <v>461</v>
      </c>
      <c r="C16" s="9" t="e">
        <f>(C5-C6)/C6*100</f>
        <v>#DIV/0!</v>
      </c>
      <c r="D16" s="9" t="s">
        <v>462</v>
      </c>
      <c r="E16" s="9"/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Presupuesto</vt:lpstr>
      <vt:lpstr>BG</vt:lpstr>
      <vt:lpstr>Costos y Gastos</vt:lpstr>
      <vt:lpstr>Proyecciones de Ventas</vt:lpstr>
      <vt:lpstr>Proyecciones de Ventas (2)</vt:lpstr>
      <vt:lpstr>Ratios y Kpi Ventas</vt:lpstr>
      <vt:lpstr>Flujo de Caja</vt:lpstr>
      <vt:lpstr>Ventas</vt:lpstr>
      <vt:lpstr>Margenes</vt:lpstr>
      <vt:lpstr>Inventario</vt:lpstr>
      <vt:lpstr>Cuentas por Cobrar</vt:lpstr>
      <vt:lpstr>Cuentas por Pagar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Xavier Mauricio Riera Torricos</dc:creator>
  <cp:lastModifiedBy>Moira Leticia Riera Lopez</cp:lastModifiedBy>
  <dcterms:created xsi:type="dcterms:W3CDTF">2024-10-30T13:25:42Z</dcterms:created>
  <dcterms:modified xsi:type="dcterms:W3CDTF">2024-12-05T17:37:41Z</dcterms:modified>
</cp:coreProperties>
</file>